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h Clerk\Documents\Parish Council\Finance and Audit\2018-2019\"/>
    </mc:Choice>
  </mc:AlternateContent>
  <xr:revisionPtr revIDLastSave="0" documentId="8_{BCAB2F66-56DB-4ABC-BCDF-4162C8A0D85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Worksheet" sheetId="3" r:id="rId1"/>
    <sheet name="Neighbourhood plan spend sheet" sheetId="1" r:id="rId2"/>
    <sheet name="M4 J 18A spend sheet" sheetId="4" r:id="rId3"/>
  </sheets>
  <definedNames>
    <definedName name="_xlnm.Print_Titles" localSheetId="0">Worksheet!$B:$B</definedName>
  </definedNames>
  <calcPr calcId="181029"/>
</workbook>
</file>

<file path=xl/calcChain.xml><?xml version="1.0" encoding="utf-8"?>
<calcChain xmlns="http://schemas.openxmlformats.org/spreadsheetml/2006/main">
  <c r="AK45" i="3" l="1"/>
  <c r="AJ83" i="3" l="1"/>
  <c r="AK43" i="3" l="1"/>
  <c r="AE45" i="3" l="1"/>
  <c r="Y45" i="3"/>
  <c r="V45" i="3"/>
  <c r="S45" i="3"/>
  <c r="M45" i="3"/>
  <c r="J45" i="3"/>
  <c r="D45" i="3"/>
  <c r="P49" i="3"/>
  <c r="D49" i="3"/>
  <c r="Y43" i="3"/>
  <c r="V43" i="3"/>
  <c r="S43" i="3"/>
  <c r="P43" i="3"/>
  <c r="M43" i="3"/>
  <c r="G43" i="3"/>
  <c r="D43" i="3"/>
  <c r="Y35" i="3"/>
  <c r="AH43" i="3"/>
  <c r="AE41" i="3"/>
  <c r="AE36" i="3"/>
  <c r="AE35" i="3"/>
  <c r="AB35" i="3"/>
  <c r="AE43" i="3" l="1"/>
  <c r="AB43" i="3" l="1"/>
  <c r="AB19" i="3"/>
  <c r="Y19" i="3"/>
  <c r="Y10" i="3"/>
  <c r="AJ87" i="3" l="1"/>
  <c r="S46" i="3" l="1"/>
  <c r="K43" i="3" l="1"/>
  <c r="T43" i="3"/>
  <c r="AF46" i="3"/>
  <c r="Z4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7" i="3"/>
  <c r="AN48" i="3"/>
  <c r="AN49" i="3"/>
  <c r="AN50" i="3"/>
  <c r="AN51" i="3"/>
  <c r="AN52" i="3"/>
  <c r="AN53" i="3"/>
  <c r="AN54" i="3"/>
  <c r="P45" i="3"/>
  <c r="M46" i="3"/>
  <c r="AM7" i="3" l="1"/>
  <c r="H24" i="3"/>
  <c r="AO24" i="3" s="1"/>
  <c r="H23" i="3"/>
  <c r="H22" i="3"/>
  <c r="H21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31" i="3"/>
  <c r="E24" i="3"/>
  <c r="E23" i="3"/>
  <c r="E22" i="3"/>
  <c r="E21" i="3"/>
  <c r="E19" i="3"/>
  <c r="E15" i="3"/>
  <c r="E14" i="3"/>
  <c r="E13" i="3"/>
  <c r="E12" i="3"/>
  <c r="E11" i="3"/>
  <c r="E10" i="3"/>
  <c r="E6" i="3"/>
  <c r="E7" i="3"/>
  <c r="E8" i="3"/>
  <c r="AN74" i="3"/>
  <c r="AM74" i="3"/>
  <c r="AN73" i="3"/>
  <c r="AM73" i="3"/>
  <c r="AN72" i="3"/>
  <c r="AM72" i="3"/>
  <c r="AN71" i="3"/>
  <c r="AM71" i="3"/>
  <c r="AN70" i="3"/>
  <c r="AM70" i="3"/>
  <c r="AN69" i="3"/>
  <c r="AM69" i="3"/>
  <c r="AN68" i="3"/>
  <c r="AM68" i="3"/>
  <c r="AN67" i="3"/>
  <c r="AM67" i="3"/>
  <c r="AN66" i="3"/>
  <c r="AM66" i="3"/>
  <c r="AN65" i="3"/>
  <c r="AM65" i="3"/>
  <c r="AN64" i="3"/>
  <c r="AM64" i="3"/>
  <c r="AN63" i="3"/>
  <c r="AM63" i="3"/>
  <c r="AN62" i="3"/>
  <c r="AM62" i="3"/>
  <c r="AN61" i="3"/>
  <c r="AM61" i="3"/>
  <c r="AN60" i="3"/>
  <c r="AM60" i="3"/>
  <c r="AN59" i="3"/>
  <c r="AM59" i="3"/>
  <c r="AN26" i="3"/>
  <c r="AM26" i="3"/>
  <c r="AN24" i="3"/>
  <c r="AM24" i="3"/>
  <c r="AN23" i="3"/>
  <c r="AM23" i="3"/>
  <c r="AN22" i="3"/>
  <c r="AM22" i="3"/>
  <c r="AN21" i="3"/>
  <c r="AM21" i="3"/>
  <c r="AN20" i="3"/>
  <c r="AM20" i="3"/>
  <c r="AN19" i="3"/>
  <c r="AM19" i="3"/>
  <c r="AN15" i="3"/>
  <c r="AM15" i="3"/>
  <c r="AN14" i="3"/>
  <c r="AM14" i="3"/>
  <c r="AN13" i="3"/>
  <c r="AM13" i="3"/>
  <c r="AN12" i="3"/>
  <c r="AM12" i="3"/>
  <c r="AN11" i="3"/>
  <c r="AM11" i="3"/>
  <c r="AN10" i="3"/>
  <c r="AM10" i="3"/>
  <c r="AN9" i="3"/>
  <c r="AM9" i="3"/>
  <c r="AN8" i="3"/>
  <c r="AM8" i="3"/>
  <c r="AN7" i="3"/>
  <c r="AN6" i="3"/>
  <c r="AM6" i="3"/>
  <c r="AN5" i="3"/>
  <c r="AM5" i="3"/>
  <c r="AK55" i="3"/>
  <c r="AJ55" i="3"/>
  <c r="AH55" i="3"/>
  <c r="AG55" i="3"/>
  <c r="AE55" i="3"/>
  <c r="AD55" i="3"/>
  <c r="AB55" i="3"/>
  <c r="AA55" i="3"/>
  <c r="Y55" i="3"/>
  <c r="X55" i="3"/>
  <c r="V55" i="3"/>
  <c r="V75" i="3" s="1"/>
  <c r="U55" i="3"/>
  <c r="U75" i="3" s="1"/>
  <c r="S55" i="3"/>
  <c r="R55" i="3"/>
  <c r="P55" i="3"/>
  <c r="O55" i="3"/>
  <c r="M55" i="3"/>
  <c r="L55" i="3"/>
  <c r="I55" i="3"/>
  <c r="G55" i="3"/>
  <c r="F55" i="3"/>
  <c r="C55" i="3"/>
  <c r="AO22" i="3" l="1"/>
  <c r="AO23" i="3"/>
  <c r="AO21" i="3"/>
  <c r="AM55" i="3"/>
  <c r="AM81" i="3"/>
  <c r="AN80" i="3"/>
  <c r="AM80" i="3"/>
  <c r="J46" i="3"/>
  <c r="AN46" i="3" s="1"/>
  <c r="J55" i="3" l="1"/>
  <c r="AL31" i="3"/>
  <c r="AC31" i="3"/>
  <c r="T31" i="3"/>
  <c r="K31" i="3"/>
  <c r="AO31" i="3" l="1"/>
  <c r="D78" i="3"/>
  <c r="AN79" i="3" l="1"/>
  <c r="AM79" i="3"/>
  <c r="AM83" i="3" s="1"/>
  <c r="AN45" i="3"/>
  <c r="D55" i="3" l="1"/>
  <c r="AN55" i="3" s="1"/>
  <c r="AN81" i="3"/>
  <c r="AN83" i="3" s="1"/>
  <c r="G55" i="1"/>
  <c r="E55" i="1"/>
  <c r="F55" i="1"/>
  <c r="D43" i="4" l="1"/>
  <c r="D42" i="4"/>
  <c r="D45" i="4" l="1"/>
  <c r="D65" i="1" l="1"/>
  <c r="D64" i="1"/>
  <c r="J55" i="1"/>
  <c r="D67" i="1" l="1"/>
  <c r="AJ75" i="3"/>
  <c r="AJ81" i="3" s="1"/>
  <c r="AG75" i="3"/>
  <c r="AG81" i="3" s="1"/>
  <c r="AD75" i="3"/>
  <c r="AD81" i="3" s="1"/>
  <c r="AA75" i="3"/>
  <c r="AA81" i="3" s="1"/>
  <c r="X75" i="3"/>
  <c r="X81" i="3" s="1"/>
  <c r="U81" i="3"/>
  <c r="R75" i="3"/>
  <c r="R81" i="3" s="1"/>
  <c r="O75" i="3"/>
  <c r="O81" i="3" s="1"/>
  <c r="L75" i="3"/>
  <c r="L81" i="3" s="1"/>
  <c r="I75" i="3"/>
  <c r="I81" i="3" s="1"/>
  <c r="F75" i="3"/>
  <c r="F81" i="3" s="1"/>
  <c r="AK16" i="3"/>
  <c r="AK80" i="3" s="1"/>
  <c r="AH16" i="3"/>
  <c r="AH80" i="3" s="1"/>
  <c r="AE16" i="3"/>
  <c r="AE80" i="3" s="1"/>
  <c r="AB16" i="3"/>
  <c r="AB80" i="3" s="1"/>
  <c r="Y16" i="3"/>
  <c r="Y80" i="3" s="1"/>
  <c r="V16" i="3"/>
  <c r="V80" i="3" s="1"/>
  <c r="S16" i="3"/>
  <c r="S80" i="3" s="1"/>
  <c r="P16" i="3"/>
  <c r="P80" i="3" s="1"/>
  <c r="M16" i="3"/>
  <c r="M80" i="3" s="1"/>
  <c r="J16" i="3"/>
  <c r="J80" i="3" s="1"/>
  <c r="D16" i="3"/>
  <c r="AJ16" i="3"/>
  <c r="AJ80" i="3" s="1"/>
  <c r="AG16" i="3"/>
  <c r="AG80" i="3" s="1"/>
  <c r="AD16" i="3"/>
  <c r="AD80" i="3" s="1"/>
  <c r="AA16" i="3"/>
  <c r="AA80" i="3" s="1"/>
  <c r="X16" i="3"/>
  <c r="X80" i="3" s="1"/>
  <c r="U16" i="3"/>
  <c r="U80" i="3" s="1"/>
  <c r="R16" i="3"/>
  <c r="R80" i="3" s="1"/>
  <c r="O16" i="3"/>
  <c r="O80" i="3" s="1"/>
  <c r="L16" i="3"/>
  <c r="L80" i="3" s="1"/>
  <c r="I16" i="3"/>
  <c r="I80" i="3" s="1"/>
  <c r="F16" i="3"/>
  <c r="F80" i="3" s="1"/>
  <c r="C16" i="3"/>
  <c r="C80" i="3" s="1"/>
  <c r="AI49" i="3"/>
  <c r="AF49" i="3"/>
  <c r="H44" i="3"/>
  <c r="AC43" i="3"/>
  <c r="H39" i="3"/>
  <c r="Z36" i="3"/>
  <c r="AC19" i="3"/>
  <c r="AI19" i="3"/>
  <c r="AI20" i="3"/>
  <c r="AC20" i="3"/>
  <c r="AL20" i="3"/>
  <c r="AL19" i="3"/>
  <c r="AF19" i="3"/>
  <c r="Q9" i="3"/>
  <c r="Q8" i="3"/>
  <c r="Q7" i="3"/>
  <c r="Q6" i="3"/>
  <c r="AM16" i="3" l="1"/>
  <c r="AL71" i="3"/>
  <c r="AI71" i="3"/>
  <c r="AF71" i="3"/>
  <c r="AC71" i="3"/>
  <c r="Z71" i="3"/>
  <c r="W71" i="3"/>
  <c r="T71" i="3"/>
  <c r="Q71" i="3"/>
  <c r="N71" i="3"/>
  <c r="K71" i="3"/>
  <c r="H71" i="3"/>
  <c r="AL70" i="3"/>
  <c r="AI70" i="3"/>
  <c r="AF70" i="3"/>
  <c r="AC70" i="3"/>
  <c r="Z70" i="3"/>
  <c r="W70" i="3"/>
  <c r="T70" i="3"/>
  <c r="Q70" i="3"/>
  <c r="N70" i="3"/>
  <c r="K70" i="3"/>
  <c r="H70" i="3"/>
  <c r="AL69" i="3"/>
  <c r="AI69" i="3"/>
  <c r="AF69" i="3"/>
  <c r="AC69" i="3"/>
  <c r="Z69" i="3"/>
  <c r="W69" i="3"/>
  <c r="T69" i="3"/>
  <c r="Q69" i="3"/>
  <c r="N69" i="3"/>
  <c r="K69" i="3"/>
  <c r="H69" i="3"/>
  <c r="AL68" i="3"/>
  <c r="AI68" i="3"/>
  <c r="AF68" i="3"/>
  <c r="AC68" i="3"/>
  <c r="Z68" i="3"/>
  <c r="W68" i="3"/>
  <c r="T68" i="3"/>
  <c r="Q68" i="3"/>
  <c r="N68" i="3"/>
  <c r="K68" i="3"/>
  <c r="H68" i="3"/>
  <c r="AL67" i="3"/>
  <c r="AI67" i="3"/>
  <c r="AF67" i="3"/>
  <c r="AC67" i="3"/>
  <c r="Z67" i="3"/>
  <c r="W67" i="3"/>
  <c r="T67" i="3"/>
  <c r="Q67" i="3"/>
  <c r="N67" i="3"/>
  <c r="K67" i="3"/>
  <c r="H67" i="3"/>
  <c r="AL66" i="3"/>
  <c r="AI66" i="3"/>
  <c r="AF66" i="3"/>
  <c r="AC66" i="3"/>
  <c r="Z66" i="3"/>
  <c r="W66" i="3"/>
  <c r="T66" i="3"/>
  <c r="Q66" i="3"/>
  <c r="N66" i="3"/>
  <c r="K66" i="3"/>
  <c r="H66" i="3"/>
  <c r="Z45" i="3"/>
  <c r="W27" i="3"/>
  <c r="AO70" i="3" l="1"/>
  <c r="AO71" i="3"/>
  <c r="AO67" i="3"/>
  <c r="AO66" i="3"/>
  <c r="AO68" i="3"/>
  <c r="AO69" i="3"/>
  <c r="AL32" i="3"/>
  <c r="AL29" i="3"/>
  <c r="AI29" i="3"/>
  <c r="AF29" i="3"/>
  <c r="AC29" i="3"/>
  <c r="Z29" i="3"/>
  <c r="W29" i="3"/>
  <c r="T29" i="3"/>
  <c r="Q29" i="3"/>
  <c r="N29" i="3"/>
  <c r="K29" i="3"/>
  <c r="H29" i="3"/>
  <c r="E29" i="3"/>
  <c r="AF14" i="3"/>
  <c r="AL11" i="3"/>
  <c r="AL12" i="3"/>
  <c r="AL15" i="3"/>
  <c r="AI15" i="3"/>
  <c r="AI11" i="3"/>
  <c r="AF11" i="3"/>
  <c r="AF15" i="3"/>
  <c r="AC15" i="3"/>
  <c r="AC11" i="3"/>
  <c r="Z11" i="3"/>
  <c r="Z15" i="3"/>
  <c r="W15" i="3"/>
  <c r="W11" i="3"/>
  <c r="T11" i="3"/>
  <c r="T15" i="3"/>
  <c r="Q15" i="3"/>
  <c r="Q11" i="3"/>
  <c r="N11" i="3"/>
  <c r="N15" i="3"/>
  <c r="K15" i="3"/>
  <c r="K11" i="3"/>
  <c r="H11" i="3"/>
  <c r="AO11" i="3" s="1"/>
  <c r="H15" i="3"/>
  <c r="G16" i="3"/>
  <c r="AN16" i="3" s="1"/>
  <c r="AO29" i="3" l="1"/>
  <c r="AO15" i="3"/>
  <c r="Z48" i="3"/>
  <c r="AI46" i="3"/>
  <c r="AC63" i="3" l="1"/>
  <c r="AL39" i="3" l="1"/>
  <c r="AI39" i="3"/>
  <c r="AF39" i="3"/>
  <c r="AC39" i="3"/>
  <c r="Z39" i="3"/>
  <c r="W39" i="3"/>
  <c r="T39" i="3"/>
  <c r="Q39" i="3"/>
  <c r="N39" i="3"/>
  <c r="K39" i="3"/>
  <c r="E39" i="3"/>
  <c r="AL14" i="3"/>
  <c r="AL13" i="3"/>
  <c r="AI14" i="3"/>
  <c r="AI13" i="3"/>
  <c r="AI12" i="3"/>
  <c r="AF13" i="3"/>
  <c r="AF12" i="3"/>
  <c r="AF10" i="3"/>
  <c r="AC14" i="3"/>
  <c r="AC13" i="3"/>
  <c r="AC12" i="3"/>
  <c r="Z14" i="3"/>
  <c r="Z13" i="3"/>
  <c r="Z12" i="3"/>
  <c r="W14" i="3"/>
  <c r="W13" i="3"/>
  <c r="W12" i="3"/>
  <c r="T14" i="3"/>
  <c r="T13" i="3"/>
  <c r="T12" i="3"/>
  <c r="Q12" i="3"/>
  <c r="AO12" i="3" s="1"/>
  <c r="Q13" i="3"/>
  <c r="Q14" i="3"/>
  <c r="N12" i="3"/>
  <c r="N13" i="3"/>
  <c r="N14" i="3"/>
  <c r="H12" i="3"/>
  <c r="H13" i="3"/>
  <c r="H14" i="3"/>
  <c r="K14" i="3"/>
  <c r="K13" i="3"/>
  <c r="K12" i="3"/>
  <c r="AO39" i="3" l="1"/>
  <c r="AO13" i="3"/>
  <c r="AO14" i="3"/>
  <c r="Q41" i="3"/>
  <c r="N41" i="3"/>
  <c r="K41" i="3"/>
  <c r="H41" i="3"/>
  <c r="H42" i="3"/>
  <c r="E40" i="3"/>
  <c r="E41" i="3"/>
  <c r="Q64" i="3" l="1"/>
  <c r="Q63" i="3"/>
  <c r="Q62" i="3"/>
  <c r="AL62" i="3" l="1"/>
  <c r="AL63" i="3"/>
  <c r="AL64" i="3"/>
  <c r="AI62" i="3"/>
  <c r="AI63" i="3"/>
  <c r="AI64" i="3"/>
  <c r="AI65" i="3"/>
  <c r="AI72" i="3"/>
  <c r="AF62" i="3"/>
  <c r="AF63" i="3"/>
  <c r="AF64" i="3"/>
  <c r="AC62" i="3"/>
  <c r="AC64" i="3"/>
  <c r="Z62" i="3"/>
  <c r="Z63" i="3"/>
  <c r="Z64" i="3"/>
  <c r="Z65" i="3"/>
  <c r="W62" i="3"/>
  <c r="W63" i="3"/>
  <c r="W64" i="3"/>
  <c r="T62" i="3"/>
  <c r="T63" i="3"/>
  <c r="T64" i="3"/>
  <c r="Q65" i="3"/>
  <c r="N62" i="3"/>
  <c r="N63" i="3"/>
  <c r="N64" i="3"/>
  <c r="K62" i="3"/>
  <c r="K63" i="3"/>
  <c r="K64" i="3"/>
  <c r="H62" i="3"/>
  <c r="H63" i="3"/>
  <c r="H64" i="3"/>
  <c r="AL30" i="3"/>
  <c r="AI30" i="3"/>
  <c r="AF30" i="3"/>
  <c r="AC30" i="3"/>
  <c r="Z30" i="3"/>
  <c r="W30" i="3"/>
  <c r="T30" i="3"/>
  <c r="T32" i="3"/>
  <c r="Q30" i="3"/>
  <c r="N30" i="3"/>
  <c r="K30" i="3"/>
  <c r="K32" i="3"/>
  <c r="H30" i="3"/>
  <c r="H32" i="3"/>
  <c r="E30" i="3"/>
  <c r="E32" i="3"/>
  <c r="AL33" i="3"/>
  <c r="AI32" i="3"/>
  <c r="AI33" i="3"/>
  <c r="AF32" i="3"/>
  <c r="AC32" i="3"/>
  <c r="AC33" i="3"/>
  <c r="Z32" i="3"/>
  <c r="Z33" i="3"/>
  <c r="W32" i="3"/>
  <c r="W33" i="3"/>
  <c r="T33" i="3"/>
  <c r="Q32" i="3"/>
  <c r="Q33" i="3"/>
  <c r="N32" i="3"/>
  <c r="N33" i="3"/>
  <c r="H33" i="3"/>
  <c r="H28" i="3"/>
  <c r="K28" i="3"/>
  <c r="N28" i="3"/>
  <c r="Q28" i="3"/>
  <c r="AL61" i="3"/>
  <c r="AL65" i="3"/>
  <c r="AL72" i="3"/>
  <c r="AL73" i="3"/>
  <c r="AI61" i="3"/>
  <c r="AI73" i="3"/>
  <c r="AF61" i="3"/>
  <c r="AF65" i="3"/>
  <c r="AF72" i="3"/>
  <c r="AF73" i="3"/>
  <c r="AC61" i="3"/>
  <c r="AC65" i="3"/>
  <c r="AC72" i="3"/>
  <c r="AC73" i="3"/>
  <c r="Z61" i="3"/>
  <c r="Z72" i="3"/>
  <c r="Z73" i="3"/>
  <c r="W61" i="3"/>
  <c r="W65" i="3"/>
  <c r="W72" i="3"/>
  <c r="W73" i="3"/>
  <c r="T61" i="3"/>
  <c r="T65" i="3"/>
  <c r="T72" i="3"/>
  <c r="T73" i="3"/>
  <c r="Q61" i="3"/>
  <c r="Q72" i="3"/>
  <c r="Q73" i="3"/>
  <c r="Q74" i="3"/>
  <c r="N61" i="3"/>
  <c r="N65" i="3"/>
  <c r="N72" i="3"/>
  <c r="N73" i="3"/>
  <c r="K65" i="3"/>
  <c r="K72" i="3"/>
  <c r="K73" i="3"/>
  <c r="H61" i="3"/>
  <c r="H65" i="3"/>
  <c r="H72" i="3"/>
  <c r="AO72" i="3" s="1"/>
  <c r="H73" i="3"/>
  <c r="H74" i="3"/>
  <c r="E73" i="3"/>
  <c r="AO73" i="3" s="1"/>
  <c r="AL48" i="3"/>
  <c r="AL49" i="3"/>
  <c r="AL50" i="3"/>
  <c r="AL51" i="3"/>
  <c r="AL52" i="3"/>
  <c r="AI48" i="3"/>
  <c r="AI50" i="3"/>
  <c r="AI51" i="3"/>
  <c r="AF48" i="3"/>
  <c r="AF50" i="3"/>
  <c r="AF51" i="3"/>
  <c r="AF52" i="3"/>
  <c r="AC48" i="3"/>
  <c r="AC49" i="3"/>
  <c r="AC50" i="3"/>
  <c r="AC51" i="3"/>
  <c r="AC52" i="3"/>
  <c r="Z49" i="3"/>
  <c r="Z50" i="3"/>
  <c r="Z51" i="3"/>
  <c r="Z52" i="3"/>
  <c r="W48" i="3"/>
  <c r="W49" i="3"/>
  <c r="W50" i="3"/>
  <c r="W51" i="3"/>
  <c r="T48" i="3"/>
  <c r="T49" i="3"/>
  <c r="T50" i="3"/>
  <c r="T51" i="3"/>
  <c r="Q48" i="3"/>
  <c r="Q49" i="3"/>
  <c r="Q50" i="3"/>
  <c r="Q51" i="3"/>
  <c r="N48" i="3"/>
  <c r="N49" i="3"/>
  <c r="N50" i="3"/>
  <c r="N51" i="3"/>
  <c r="N52" i="3"/>
  <c r="K48" i="3"/>
  <c r="K49" i="3"/>
  <c r="K50" i="3"/>
  <c r="K51" i="3"/>
  <c r="K52" i="3"/>
  <c r="H48" i="3"/>
  <c r="H49" i="3"/>
  <c r="H50" i="3"/>
  <c r="H51" i="3"/>
  <c r="E48" i="3"/>
  <c r="E49" i="3"/>
  <c r="AO49" i="3" s="1"/>
  <c r="E50" i="3"/>
  <c r="E51" i="3"/>
  <c r="E52" i="3"/>
  <c r="AL74" i="3"/>
  <c r="AL60" i="3"/>
  <c r="AL59" i="3"/>
  <c r="AK75" i="3"/>
  <c r="AK81" i="3" s="1"/>
  <c r="AL54" i="3"/>
  <c r="AL53" i="3"/>
  <c r="AL47" i="3"/>
  <c r="AL46" i="3"/>
  <c r="AL45" i="3"/>
  <c r="AL44" i="3"/>
  <c r="AL43" i="3"/>
  <c r="AL42" i="3"/>
  <c r="AL41" i="3"/>
  <c r="AL40" i="3"/>
  <c r="AL38" i="3"/>
  <c r="AL37" i="3"/>
  <c r="AL36" i="3"/>
  <c r="AL35" i="3"/>
  <c r="AL34" i="3"/>
  <c r="AL28" i="3"/>
  <c r="AL27" i="3"/>
  <c r="AL26" i="3"/>
  <c r="AL10" i="3"/>
  <c r="AL9" i="3"/>
  <c r="AL8" i="3"/>
  <c r="AL7" i="3"/>
  <c r="AL6" i="3"/>
  <c r="AL5" i="3"/>
  <c r="AI74" i="3"/>
  <c r="AI60" i="3"/>
  <c r="AI59" i="3"/>
  <c r="AH75" i="3"/>
  <c r="AH81" i="3" s="1"/>
  <c r="AI54" i="3"/>
  <c r="AI53" i="3"/>
  <c r="AI52" i="3"/>
  <c r="AI47" i="3"/>
  <c r="AI45" i="3"/>
  <c r="AI44" i="3"/>
  <c r="AI43" i="3"/>
  <c r="AI42" i="3"/>
  <c r="AI41" i="3"/>
  <c r="AI40" i="3"/>
  <c r="AI38" i="3"/>
  <c r="AI37" i="3"/>
  <c r="AI36" i="3"/>
  <c r="AI35" i="3"/>
  <c r="AI34" i="3"/>
  <c r="AI28" i="3"/>
  <c r="AI27" i="3"/>
  <c r="AI26" i="3"/>
  <c r="AI10" i="3"/>
  <c r="AI9" i="3"/>
  <c r="AI8" i="3"/>
  <c r="AI7" i="3"/>
  <c r="AI6" i="3"/>
  <c r="AI5" i="3"/>
  <c r="AF74" i="3"/>
  <c r="AF60" i="3"/>
  <c r="AF59" i="3"/>
  <c r="AE75" i="3"/>
  <c r="AE81" i="3" s="1"/>
  <c r="AF54" i="3"/>
  <c r="AF53" i="3"/>
  <c r="AF47" i="3"/>
  <c r="AF45" i="3"/>
  <c r="AF44" i="3"/>
  <c r="AF43" i="3"/>
  <c r="AF42" i="3"/>
  <c r="AF41" i="3"/>
  <c r="AF40" i="3"/>
  <c r="AF38" i="3"/>
  <c r="AF37" i="3"/>
  <c r="AF36" i="3"/>
  <c r="AF35" i="3"/>
  <c r="AF34" i="3"/>
  <c r="AF33" i="3"/>
  <c r="AF28" i="3"/>
  <c r="AF27" i="3"/>
  <c r="AF26" i="3"/>
  <c r="AF20" i="3"/>
  <c r="AF9" i="3"/>
  <c r="AF8" i="3"/>
  <c r="AF7" i="3"/>
  <c r="AF6" i="3"/>
  <c r="AF5" i="3"/>
  <c r="AC74" i="3"/>
  <c r="AC60" i="3"/>
  <c r="AC59" i="3"/>
  <c r="AB75" i="3"/>
  <c r="AB81" i="3" s="1"/>
  <c r="AC54" i="3"/>
  <c r="AC53" i="3"/>
  <c r="AC47" i="3"/>
  <c r="AC46" i="3"/>
  <c r="AC45" i="3"/>
  <c r="AC44" i="3"/>
  <c r="AC42" i="3"/>
  <c r="AC41" i="3"/>
  <c r="AC40" i="3"/>
  <c r="AC38" i="3"/>
  <c r="AC37" i="3"/>
  <c r="AC36" i="3"/>
  <c r="AC35" i="3"/>
  <c r="AC34" i="3"/>
  <c r="AC28" i="3"/>
  <c r="AC27" i="3"/>
  <c r="AC26" i="3"/>
  <c r="AC10" i="3"/>
  <c r="AC9" i="3"/>
  <c r="AC8" i="3"/>
  <c r="AC7" i="3"/>
  <c r="AC6" i="3"/>
  <c r="AC5" i="3"/>
  <c r="Z60" i="3"/>
  <c r="Z59" i="3"/>
  <c r="Y75" i="3"/>
  <c r="Y81" i="3" s="1"/>
  <c r="Z54" i="3"/>
  <c r="Z53" i="3"/>
  <c r="Z47" i="3"/>
  <c r="Z44" i="3"/>
  <c r="Z43" i="3"/>
  <c r="Z42" i="3"/>
  <c r="Z41" i="3"/>
  <c r="Z40" i="3"/>
  <c r="Z38" i="3"/>
  <c r="Z37" i="3"/>
  <c r="Z35" i="3"/>
  <c r="Z34" i="3"/>
  <c r="Z28" i="3"/>
  <c r="Z27" i="3"/>
  <c r="Z26" i="3"/>
  <c r="Z20" i="3"/>
  <c r="Z19" i="3"/>
  <c r="Z10" i="3"/>
  <c r="AO10" i="3" s="1"/>
  <c r="Z9" i="3"/>
  <c r="Z8" i="3"/>
  <c r="Z7" i="3"/>
  <c r="Z6" i="3"/>
  <c r="Z5" i="3"/>
  <c r="W60" i="3"/>
  <c r="W59" i="3"/>
  <c r="V81" i="3"/>
  <c r="W54" i="3"/>
  <c r="W53" i="3"/>
  <c r="W52" i="3"/>
  <c r="W47" i="3"/>
  <c r="W46" i="3"/>
  <c r="W45" i="3"/>
  <c r="W44" i="3"/>
  <c r="W43" i="3"/>
  <c r="W42" i="3"/>
  <c r="W41" i="3"/>
  <c r="W40" i="3"/>
  <c r="W38" i="3"/>
  <c r="W37" i="3"/>
  <c r="W36" i="3"/>
  <c r="W35" i="3"/>
  <c r="W34" i="3"/>
  <c r="W28" i="3"/>
  <c r="W26" i="3"/>
  <c r="W20" i="3"/>
  <c r="W19" i="3"/>
  <c r="W10" i="3"/>
  <c r="W9" i="3"/>
  <c r="W8" i="3"/>
  <c r="W7" i="3"/>
  <c r="W6" i="3"/>
  <c r="W5" i="3"/>
  <c r="T74" i="3"/>
  <c r="T60" i="3"/>
  <c r="T59" i="3"/>
  <c r="S75" i="3"/>
  <c r="S81" i="3" s="1"/>
  <c r="T54" i="3"/>
  <c r="T53" i="3"/>
  <c r="T52" i="3"/>
  <c r="T47" i="3"/>
  <c r="T46" i="3"/>
  <c r="T45" i="3"/>
  <c r="T44" i="3"/>
  <c r="T42" i="3"/>
  <c r="T41" i="3"/>
  <c r="T40" i="3"/>
  <c r="T38" i="3"/>
  <c r="T37" i="3"/>
  <c r="T36" i="3"/>
  <c r="T35" i="3"/>
  <c r="T34" i="3"/>
  <c r="T28" i="3"/>
  <c r="T27" i="3"/>
  <c r="T26" i="3"/>
  <c r="T20" i="3"/>
  <c r="T19" i="3"/>
  <c r="T10" i="3"/>
  <c r="T9" i="3"/>
  <c r="T8" i="3"/>
  <c r="T7" i="3"/>
  <c r="T6" i="3"/>
  <c r="T5" i="3"/>
  <c r="Q60" i="3"/>
  <c r="Q59" i="3"/>
  <c r="P75" i="3"/>
  <c r="P81" i="3" s="1"/>
  <c r="Q54" i="3"/>
  <c r="Q53" i="3"/>
  <c r="Q52" i="3"/>
  <c r="Q47" i="3"/>
  <c r="Q46" i="3"/>
  <c r="Q45" i="3"/>
  <c r="Q44" i="3"/>
  <c r="Q43" i="3"/>
  <c r="Q42" i="3"/>
  <c r="Q40" i="3"/>
  <c r="Q38" i="3"/>
  <c r="Q37" i="3"/>
  <c r="Q36" i="3"/>
  <c r="Q35" i="3"/>
  <c r="Q34" i="3"/>
  <c r="Q27" i="3"/>
  <c r="Q26" i="3"/>
  <c r="Q20" i="3"/>
  <c r="Q19" i="3"/>
  <c r="Q10" i="3"/>
  <c r="Q5" i="3"/>
  <c r="N74" i="3"/>
  <c r="N60" i="3"/>
  <c r="N59" i="3"/>
  <c r="M75" i="3"/>
  <c r="M81" i="3" s="1"/>
  <c r="N54" i="3"/>
  <c r="N53" i="3"/>
  <c r="N47" i="3"/>
  <c r="N46" i="3"/>
  <c r="N45" i="3"/>
  <c r="N44" i="3"/>
  <c r="N43" i="3"/>
  <c r="N42" i="3"/>
  <c r="N40" i="3"/>
  <c r="N38" i="3"/>
  <c r="N37" i="3"/>
  <c r="N36" i="3"/>
  <c r="N35" i="3"/>
  <c r="N34" i="3"/>
  <c r="N27" i="3"/>
  <c r="N26" i="3"/>
  <c r="N20" i="3"/>
  <c r="N19" i="3"/>
  <c r="N10" i="3"/>
  <c r="N9" i="3"/>
  <c r="N8" i="3"/>
  <c r="N7" i="3"/>
  <c r="N6" i="3"/>
  <c r="N5" i="3"/>
  <c r="K74" i="3"/>
  <c r="K60" i="3"/>
  <c r="K59" i="3"/>
  <c r="J75" i="3"/>
  <c r="J81" i="3" s="1"/>
  <c r="K54" i="3"/>
  <c r="K53" i="3"/>
  <c r="K47" i="3"/>
  <c r="K46" i="3"/>
  <c r="K45" i="3"/>
  <c r="K44" i="3"/>
  <c r="K42" i="3"/>
  <c r="K40" i="3"/>
  <c r="K38" i="3"/>
  <c r="K37" i="3"/>
  <c r="K36" i="3"/>
  <c r="K35" i="3"/>
  <c r="K34" i="3"/>
  <c r="K33" i="3"/>
  <c r="K27" i="3"/>
  <c r="K26" i="3"/>
  <c r="K20" i="3"/>
  <c r="K19" i="3"/>
  <c r="K10" i="3"/>
  <c r="K9" i="3"/>
  <c r="K8" i="3"/>
  <c r="K7" i="3"/>
  <c r="K6" i="3"/>
  <c r="K5" i="3"/>
  <c r="H60" i="3"/>
  <c r="H59" i="3"/>
  <c r="G75" i="3"/>
  <c r="G81" i="3" s="1"/>
  <c r="H54" i="3"/>
  <c r="H53" i="3"/>
  <c r="H52" i="3"/>
  <c r="H47" i="3"/>
  <c r="H46" i="3"/>
  <c r="H45" i="3"/>
  <c r="H43" i="3"/>
  <c r="H40" i="3"/>
  <c r="H38" i="3"/>
  <c r="H37" i="3"/>
  <c r="H36" i="3"/>
  <c r="H35" i="3"/>
  <c r="H34" i="3"/>
  <c r="H27" i="3"/>
  <c r="H26" i="3"/>
  <c r="H20" i="3"/>
  <c r="H19" i="3"/>
  <c r="G80" i="3"/>
  <c r="H10" i="3"/>
  <c r="H9" i="3"/>
  <c r="H8" i="3"/>
  <c r="H7" i="3"/>
  <c r="H6" i="3"/>
  <c r="H5" i="3"/>
  <c r="E74" i="3"/>
  <c r="C75" i="3"/>
  <c r="C81" i="3" s="1"/>
  <c r="D75" i="3"/>
  <c r="E54" i="3"/>
  <c r="E53" i="3"/>
  <c r="AO53" i="3" s="1"/>
  <c r="E47" i="3"/>
  <c r="E46" i="3"/>
  <c r="E45" i="3"/>
  <c r="E44" i="3"/>
  <c r="E43" i="3"/>
  <c r="E42" i="3"/>
  <c r="E38" i="3"/>
  <c r="E37" i="3"/>
  <c r="E36" i="3"/>
  <c r="E35" i="3"/>
  <c r="E34" i="3"/>
  <c r="E33" i="3"/>
  <c r="E28" i="3"/>
  <c r="E27" i="3"/>
  <c r="E26" i="3"/>
  <c r="E20" i="3"/>
  <c r="D80" i="3"/>
  <c r="E9" i="3"/>
  <c r="E5" i="3"/>
  <c r="AO8" i="3" l="1"/>
  <c r="AO74" i="3"/>
  <c r="AO30" i="3"/>
  <c r="AO45" i="3"/>
  <c r="AO19" i="3"/>
  <c r="AO54" i="3"/>
  <c r="AO41" i="3"/>
  <c r="AO52" i="3"/>
  <c r="AO59" i="3"/>
  <c r="AO28" i="3"/>
  <c r="AO37" i="3"/>
  <c r="AO51" i="3"/>
  <c r="AO42" i="3"/>
  <c r="AO35" i="3"/>
  <c r="AO40" i="3"/>
  <c r="AO33" i="3"/>
  <c r="AO27" i="3"/>
  <c r="AO36" i="3"/>
  <c r="AO43" i="3"/>
  <c r="AO47" i="3"/>
  <c r="AO44" i="3"/>
  <c r="AO50" i="3"/>
  <c r="AO48" i="3"/>
  <c r="AO32" i="3"/>
  <c r="AO46" i="3"/>
  <c r="AO34" i="3"/>
  <c r="AO38" i="3"/>
  <c r="AO6" i="3"/>
  <c r="AO65" i="3"/>
  <c r="AO61" i="3"/>
  <c r="AO63" i="3"/>
  <c r="AO5" i="3"/>
  <c r="AO9" i="3"/>
  <c r="AF16" i="3"/>
  <c r="AI16" i="3"/>
  <c r="AO60" i="3"/>
  <c r="AO64" i="3"/>
  <c r="AO62" i="3"/>
  <c r="AO26" i="3"/>
  <c r="AL55" i="3"/>
  <c r="AL75" i="3" s="1"/>
  <c r="AI55" i="3"/>
  <c r="AI75" i="3" s="1"/>
  <c r="AC55" i="3"/>
  <c r="AC75" i="3" s="1"/>
  <c r="Z55" i="3"/>
  <c r="Z75" i="3" s="1"/>
  <c r="T55" i="3"/>
  <c r="T75" i="3" s="1"/>
  <c r="AO20" i="3"/>
  <c r="Q55" i="3"/>
  <c r="Q75" i="3" s="1"/>
  <c r="N55" i="3"/>
  <c r="N75" i="3" s="1"/>
  <c r="K55" i="3"/>
  <c r="K75" i="3" s="1"/>
  <c r="H55" i="3"/>
  <c r="H75" i="3" s="1"/>
  <c r="AF55" i="3"/>
  <c r="AF75" i="3" s="1"/>
  <c r="W55" i="3"/>
  <c r="W75" i="3" s="1"/>
  <c r="E55" i="3"/>
  <c r="AO7" i="3"/>
  <c r="D81" i="3"/>
  <c r="D83" i="3" s="1"/>
  <c r="AN75" i="3"/>
  <c r="AM75" i="3"/>
  <c r="AL16" i="3"/>
  <c r="N16" i="3"/>
  <c r="Q16" i="3"/>
  <c r="W16" i="3"/>
  <c r="Z16" i="3"/>
  <c r="K16" i="3"/>
  <c r="AC16" i="3"/>
  <c r="T16" i="3"/>
  <c r="E16" i="3"/>
  <c r="H16" i="3"/>
  <c r="AO55" i="3" l="1"/>
  <c r="E75" i="3"/>
  <c r="AO75" i="3" s="1"/>
  <c r="AO16" i="3"/>
  <c r="G79" i="3"/>
  <c r="G83" i="3" s="1"/>
  <c r="J79" i="3" l="1"/>
  <c r="J83" i="3" s="1"/>
  <c r="M79" i="3" s="1"/>
  <c r="M83" i="3" s="1"/>
  <c r="P79" i="3" s="1"/>
  <c r="P83" i="3" s="1"/>
  <c r="S79" i="3" s="1"/>
  <c r="S83" i="3" s="1"/>
  <c r="V79" i="3" l="1"/>
  <c r="V83" i="3" s="1"/>
  <c r="Y79" i="3" s="1"/>
  <c r="Y83" i="3" s="1"/>
  <c r="AB79" i="3" l="1"/>
  <c r="AB83" i="3" s="1"/>
  <c r="AE79" i="3" s="1"/>
  <c r="AE83" i="3" s="1"/>
  <c r="AH79" i="3" s="1"/>
  <c r="AH83" i="3" s="1"/>
  <c r="AK79" i="3" s="1"/>
  <c r="AK8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Parish Clerk</author>
  </authors>
  <commentList>
    <comment ref="AE41" authorId="0" shapeId="0" xr:uid="{A1D6BA66-45C3-43AC-B439-0F279E56A7C4}">
      <text>
        <r>
          <rPr>
            <b/>
            <sz val="9"/>
            <color indexed="81"/>
            <rFont val="Tahoma"/>
            <family val="2"/>
          </rPr>
          <t>Parish Clerk:</t>
        </r>
        <r>
          <rPr>
            <sz val="9"/>
            <color indexed="81"/>
            <rFont val="Tahoma"/>
            <family val="2"/>
          </rPr>
          <t xml:space="preserve">
Neighbourhood plan</t>
        </r>
      </text>
    </comment>
    <comment ref="AE45" authorId="0" shapeId="0" xr:uid="{4635F612-5E66-496A-B47D-AC5DCB91940E}">
      <text>
        <r>
          <rPr>
            <b/>
            <sz val="9"/>
            <color indexed="81"/>
            <rFont val="Tahoma"/>
            <family val="2"/>
          </rPr>
          <t>Parish Clerk:</t>
        </r>
        <r>
          <rPr>
            <sz val="9"/>
            <color indexed="81"/>
            <rFont val="Tahoma"/>
            <family val="2"/>
          </rPr>
          <t xml:space="preserve">
£168 Neighbourhood Plan</t>
        </r>
      </text>
    </comment>
    <comment ref="AK50" authorId="0" shapeId="0" xr:uid="{A43DEDEC-8B19-45BC-9E37-DD927287F97B}">
      <text>
        <r>
          <rPr>
            <b/>
            <sz val="9"/>
            <color indexed="81"/>
            <rFont val="Tahoma"/>
            <charset val="1"/>
          </rPr>
          <t>Parish Clerk:</t>
        </r>
        <r>
          <rPr>
            <sz val="9"/>
            <color indexed="81"/>
            <rFont val="Tahoma"/>
            <charset val="1"/>
          </rPr>
          <t xml:space="preserve">
ICO Data Protection fee</t>
        </r>
      </text>
    </comment>
  </commentList>
</comments>
</file>

<file path=xl/sharedStrings.xml><?xml version="1.0" encoding="utf-8"?>
<sst xmlns="http://schemas.openxmlformats.org/spreadsheetml/2006/main" count="351" uniqueCount="245">
  <si>
    <t>Actual</t>
  </si>
  <si>
    <t>Insurance</t>
  </si>
  <si>
    <t>Totals</t>
  </si>
  <si>
    <t>Internet</t>
  </si>
  <si>
    <t>Budget</t>
  </si>
  <si>
    <t>April</t>
  </si>
  <si>
    <t>May</t>
  </si>
  <si>
    <t>June</t>
  </si>
  <si>
    <t>July</t>
  </si>
  <si>
    <t>March</t>
  </si>
  <si>
    <t>Income</t>
  </si>
  <si>
    <t>Precept</t>
  </si>
  <si>
    <t>LCT Grant</t>
  </si>
  <si>
    <t>Allotments</t>
  </si>
  <si>
    <t>Rec Hire</t>
  </si>
  <si>
    <t>Cost of Income</t>
  </si>
  <si>
    <t>Advertising</t>
  </si>
  <si>
    <t>Salary</t>
  </si>
  <si>
    <t>NI &amp; Tax</t>
  </si>
  <si>
    <t>Rent Shortwood</t>
  </si>
  <si>
    <t>Room hire</t>
  </si>
  <si>
    <t>Pucklechurch News</t>
  </si>
  <si>
    <t>Audit Fees</t>
  </si>
  <si>
    <t>Consultancy Fees</t>
  </si>
  <si>
    <t>Ground Maint</t>
  </si>
  <si>
    <t>Dif</t>
  </si>
  <si>
    <t>Total Income</t>
  </si>
  <si>
    <t>Other Expenditure</t>
  </si>
  <si>
    <t>Aug</t>
  </si>
  <si>
    <t>Sept</t>
  </si>
  <si>
    <t>Oct</t>
  </si>
  <si>
    <t>Nov</t>
  </si>
  <si>
    <t>Dec</t>
  </si>
  <si>
    <t>Jan</t>
  </si>
  <si>
    <t>Feb</t>
  </si>
  <si>
    <t>Emergency Plan</t>
  </si>
  <si>
    <t>Payroll costs</t>
  </si>
  <si>
    <t>Office Equipment</t>
  </si>
  <si>
    <t>Balance c/f</t>
  </si>
  <si>
    <t>Opening Balance res &amp; bank account</t>
  </si>
  <si>
    <t>Income Received</t>
  </si>
  <si>
    <t>Expenditure</t>
  </si>
  <si>
    <t>Bank Balance C/f</t>
  </si>
  <si>
    <t>PLEASE NOTE THAT £30,000.00 OF THE BANK BALANCE IS FOR THE RESERVE ACCOUNT</t>
  </si>
  <si>
    <t>Character Assessment &amp; design ST-13</t>
  </si>
  <si>
    <t>PPC Budget Income Account</t>
  </si>
  <si>
    <t>Recruitment expenses</t>
  </si>
  <si>
    <t>Bank Interest recd</t>
  </si>
  <si>
    <t>Phone</t>
  </si>
  <si>
    <t>Membership /NALC SILCA</t>
  </si>
  <si>
    <t xml:space="preserve"> </t>
  </si>
  <si>
    <t>Grants Rec heart donations</t>
  </si>
  <si>
    <t>Hall &amp; Scout hut Rent</t>
  </si>
  <si>
    <t>Vat to be reclaimed</t>
  </si>
  <si>
    <t xml:space="preserve">Pension </t>
  </si>
  <si>
    <t xml:space="preserve">Play equip asset  Repairs &amp; Renewals </t>
  </si>
  <si>
    <t>Defibs</t>
  </si>
  <si>
    <t>Compensation / insurance claim</t>
  </si>
  <si>
    <t>Electric Millennium Stone Defibs</t>
  </si>
  <si>
    <t>Reconciled with Bank</t>
  </si>
  <si>
    <t>reserve as per financial policy</t>
  </si>
  <si>
    <t>Contract for ground work and maint.</t>
  </si>
  <si>
    <t>Election Fees 2020</t>
  </si>
  <si>
    <t>Dog Bins &amp; waste</t>
  </si>
  <si>
    <t>Training staff/ Councillors  Conferences</t>
  </si>
  <si>
    <t>Memorial Garden</t>
  </si>
  <si>
    <t>Wild Flowers Grass Verges &amp; Meadows</t>
  </si>
  <si>
    <t>Quality Council</t>
  </si>
  <si>
    <t>Neighbourhood Plan</t>
  </si>
  <si>
    <t>Village hall Project</t>
  </si>
  <si>
    <t>VAT received from last year</t>
  </si>
  <si>
    <t xml:space="preserve">  £150.00 Petty cash  which is included in the bank figure. </t>
  </si>
  <si>
    <t>Leases for Hall and Scout hut</t>
  </si>
  <si>
    <t>Petty Cash Neighbourhood Plan</t>
  </si>
  <si>
    <t>Date</t>
  </si>
  <si>
    <t>Paid To</t>
  </si>
  <si>
    <t>Disc</t>
  </si>
  <si>
    <t>bank</t>
  </si>
  <si>
    <t>Petty cash Out</t>
  </si>
  <si>
    <t>Petty cash in</t>
  </si>
  <si>
    <t>Cheque number</t>
  </si>
  <si>
    <t>25.11.16</t>
  </si>
  <si>
    <t>PCA</t>
  </si>
  <si>
    <t>10.03.17</t>
  </si>
  <si>
    <t>31.03.17</t>
  </si>
  <si>
    <t>16.04.17</t>
  </si>
  <si>
    <t>Neighbourhood plan</t>
  </si>
  <si>
    <t>Petty cash given to Rick</t>
  </si>
  <si>
    <t>26.04.17</t>
  </si>
  <si>
    <t>Projector</t>
  </si>
  <si>
    <t>03.05.17</t>
  </si>
  <si>
    <t>South Glouc Council</t>
  </si>
  <si>
    <t>Neighbour hood plan Flyers</t>
  </si>
  <si>
    <t>17.05.17</t>
  </si>
  <si>
    <t>Petty cash Given to Gail</t>
  </si>
  <si>
    <t>Budget agreed by Council</t>
  </si>
  <si>
    <t>2017-2018</t>
  </si>
  <si>
    <t xml:space="preserve"> Petty cash balance awaiting receipts </t>
  </si>
  <si>
    <t>Total To spend</t>
  </si>
  <si>
    <t>Total Spent to date</t>
  </si>
  <si>
    <t>Total available</t>
  </si>
  <si>
    <t>30.05.17</t>
  </si>
  <si>
    <t>Room Hire</t>
  </si>
  <si>
    <t>30.04.17</t>
  </si>
  <si>
    <t>23.05.17</t>
  </si>
  <si>
    <t>Flyers</t>
  </si>
  <si>
    <t>m4 J18A As per 2.8.17</t>
  </si>
  <si>
    <t>Stationary post printing</t>
  </si>
  <si>
    <t>02.08.17</t>
  </si>
  <si>
    <t>Hllo Print</t>
  </si>
  <si>
    <t>Banners</t>
  </si>
  <si>
    <t>05.07.17</t>
  </si>
  <si>
    <t>13.07.17</t>
  </si>
  <si>
    <t>Printsetters</t>
  </si>
  <si>
    <t>Posters and Leaflets</t>
  </si>
  <si>
    <t>Mike Walkers</t>
  </si>
  <si>
    <t>Stationary</t>
  </si>
  <si>
    <t>M4 J 18A Spend  As agreed 2.8.17 Meeting</t>
  </si>
  <si>
    <t>Agreed by Council</t>
  </si>
  <si>
    <t>11.04.17</t>
  </si>
  <si>
    <t>Survey Monkey</t>
  </si>
  <si>
    <t>Survey</t>
  </si>
  <si>
    <t>Amazon</t>
  </si>
  <si>
    <t>Flip charts</t>
  </si>
  <si>
    <t>Flop chart aeasel and marker pens</t>
  </si>
  <si>
    <t>08.05.17</t>
  </si>
  <si>
    <t>Cash Box</t>
  </si>
  <si>
    <t>11.06.17</t>
  </si>
  <si>
    <t>Pay pal Hellprint Benelux BV</t>
  </si>
  <si>
    <t>Helloprint</t>
  </si>
  <si>
    <t>11.05.17</t>
  </si>
  <si>
    <t>27.07.17</t>
  </si>
  <si>
    <t>PC World</t>
  </si>
  <si>
    <t>BCK 1 HD WBW</t>
  </si>
  <si>
    <t>18.10.17</t>
  </si>
  <si>
    <t>Buch Florist</t>
  </si>
  <si>
    <t>Flowers for gail</t>
  </si>
  <si>
    <t>Cold Cave</t>
  </si>
  <si>
    <t>Bottle For Cllr G Boyle</t>
  </si>
  <si>
    <t>Megphone</t>
  </si>
  <si>
    <t>23.08.17</t>
  </si>
  <si>
    <t>action print</t>
  </si>
  <si>
    <t>leaflets and questionairs</t>
  </si>
  <si>
    <t>29.08.17</t>
  </si>
  <si>
    <t>ENSIGN PRINT</t>
  </si>
  <si>
    <t>M4 junction 18a leaflet</t>
  </si>
  <si>
    <t>12.09.17</t>
  </si>
  <si>
    <t>pca</t>
  </si>
  <si>
    <t>room hire</t>
  </si>
  <si>
    <t>07.08.17</t>
  </si>
  <si>
    <t>30.08.17</t>
  </si>
  <si>
    <t>{PCA</t>
  </si>
  <si>
    <t>16.08.17</t>
  </si>
  <si>
    <t>brerc</t>
  </si>
  <si>
    <t>report</t>
  </si>
  <si>
    <t>06.08.17</t>
  </si>
  <si>
    <t>Hello Print</t>
  </si>
  <si>
    <t>Correx Boards</t>
  </si>
  <si>
    <t>05.06.17</t>
  </si>
  <si>
    <t>Post office</t>
  </si>
  <si>
    <t>Gift voucher for competition</t>
  </si>
  <si>
    <t>30.10.17</t>
  </si>
  <si>
    <t>Neighbourhood  plan</t>
  </si>
  <si>
    <t xml:space="preserve">village hall </t>
  </si>
  <si>
    <t>Reconciliation</t>
  </si>
  <si>
    <t>Play equipment as agreed Jan 2018</t>
  </si>
  <si>
    <t>Cemetery</t>
  </si>
  <si>
    <t xml:space="preserve">sundry </t>
  </si>
  <si>
    <t>Sundry</t>
  </si>
  <si>
    <t>Expenses</t>
  </si>
  <si>
    <t>misc. (137 Section)</t>
  </si>
  <si>
    <t>Total cost of income &amp; expenditure</t>
  </si>
  <si>
    <t>Total Outgaining's</t>
  </si>
  <si>
    <t>28.02.18</t>
  </si>
  <si>
    <t>31.12.17</t>
  </si>
  <si>
    <t>30.11.17</t>
  </si>
  <si>
    <t>Curry's Pc World</t>
  </si>
  <si>
    <t>2018/2019</t>
  </si>
  <si>
    <t>CIL Payments Received</t>
  </si>
  <si>
    <t>Childcare Vouchers</t>
  </si>
  <si>
    <t>Expenses Councillors</t>
  </si>
  <si>
    <t>Play Area Renewals</t>
  </si>
  <si>
    <t>Working Capital</t>
  </si>
  <si>
    <t>Last updated by JB 18.07.18</t>
  </si>
  <si>
    <t>Wayleave western power</t>
  </si>
  <si>
    <t>15.12.16</t>
  </si>
  <si>
    <t>Room hire - April 2017</t>
  </si>
  <si>
    <t>Room hire - Sept 2017</t>
  </si>
  <si>
    <t>Room hire - Aug 2017</t>
  </si>
  <si>
    <t>Room hire - July 2017</t>
  </si>
  <si>
    <t>Room Hire - June 2017</t>
  </si>
  <si>
    <t>Room  hire - May 2017</t>
  </si>
  <si>
    <t>Room hire - October 2017</t>
  </si>
  <si>
    <t>Room hire - Nov 2017</t>
  </si>
  <si>
    <t>Room Hire - Dec 2017</t>
  </si>
  <si>
    <t>Room Hire - February 2018</t>
  </si>
  <si>
    <t>31.07.17</t>
  </si>
  <si>
    <t>31.05.18</t>
  </si>
  <si>
    <t>Lemon Gazelle CIC</t>
  </si>
  <si>
    <t>Communications Plan</t>
  </si>
  <si>
    <t>30.04.18</t>
  </si>
  <si>
    <t>Preparation/Meeting/Issues Report</t>
  </si>
  <si>
    <t>31.03.18</t>
  </si>
  <si>
    <t>Room Hire - March 2018</t>
  </si>
  <si>
    <t>Room Hire - April 2018</t>
  </si>
  <si>
    <t>Room Hire - May 2018</t>
  </si>
  <si>
    <t>30.06.18</t>
  </si>
  <si>
    <t>Room Hire - June 2018</t>
  </si>
  <si>
    <t>31.07.18</t>
  </si>
  <si>
    <t>Room Hire - July 2018</t>
  </si>
  <si>
    <t>31.08.18</t>
  </si>
  <si>
    <t>Room Hire - August 2018</t>
  </si>
  <si>
    <t>30.09.18</t>
  </si>
  <si>
    <t>Editing/preparing Survey</t>
  </si>
  <si>
    <t>2018-2019</t>
  </si>
  <si>
    <t>Room Hire Sept'18</t>
  </si>
  <si>
    <t>31.10.18</t>
  </si>
  <si>
    <t>Room Hire Oct'18</t>
  </si>
  <si>
    <t>05.11.18</t>
  </si>
  <si>
    <t>Foundation Evidence Base/Survey</t>
  </si>
  <si>
    <t>Original Budget</t>
  </si>
  <si>
    <t>Actual Spend To date</t>
  </si>
  <si>
    <t>Forecasted cash flow</t>
  </si>
  <si>
    <t>at year end</t>
  </si>
  <si>
    <t>Less grants</t>
  </si>
  <si>
    <t>Budget forecast at 31.03.19</t>
  </si>
  <si>
    <t>05.12.18</t>
  </si>
  <si>
    <t>Survey amendments,launch,promotion</t>
  </si>
  <si>
    <t>Room Hire Nov'18</t>
  </si>
  <si>
    <t>30.11.18</t>
  </si>
  <si>
    <t>02.01.19</t>
  </si>
  <si>
    <t>Community Engagement</t>
  </si>
  <si>
    <t>03.01.19</t>
  </si>
  <si>
    <t>Action Print</t>
  </si>
  <si>
    <t>Printing leaflets</t>
  </si>
  <si>
    <t>31.12.18</t>
  </si>
  <si>
    <t>Room Hire Dec'18</t>
  </si>
  <si>
    <t>31.01.19</t>
  </si>
  <si>
    <t>Room hire Jan'19</t>
  </si>
  <si>
    <t>Grass Cutting/gardening</t>
  </si>
  <si>
    <t>28.02.19</t>
  </si>
  <si>
    <t>Negotiations and support on Options process</t>
  </si>
  <si>
    <t>Room Hire Feb'19</t>
  </si>
  <si>
    <t>Grants paid out 2019</t>
  </si>
  <si>
    <t>Upto 31.03.19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</si>
</sst>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_(* #,##0.00_);_(* \(#,##0.00\);_(* &quot;-&quot;??_);_(@_)"/>
    <numFmt numFmtId="165" formatCode="&quot;£&quot;#,##0"/>
    <numFmt numFmtId="166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51">
    <xf numFmtId="0" fontId="0" fillId="0" borderId="0" xfId="0"/>
    <xf numFmtId="0" fontId="1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/>
    <xf numFmtId="166" fontId="0" fillId="0" borderId="0" xfId="0" applyNumberFormat="1"/>
    <xf numFmtId="166" fontId="0" fillId="2" borderId="1" xfId="0" applyNumberFormat="1" applyFill="1" applyBorder="1"/>
    <xf numFmtId="166" fontId="0" fillId="0" borderId="1" xfId="0" applyNumberFormat="1" applyBorder="1"/>
    <xf numFmtId="166" fontId="1" fillId="2" borderId="1" xfId="0" applyNumberFormat="1" applyFont="1" applyFill="1" applyBorder="1"/>
    <xf numFmtId="166" fontId="1" fillId="0" borderId="1" xfId="0" applyNumberFormat="1" applyFont="1" applyBorder="1"/>
    <xf numFmtId="166" fontId="1" fillId="0" borderId="0" xfId="0" applyNumberFormat="1" applyFont="1"/>
    <xf numFmtId="8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4" borderId="8" xfId="0" applyFill="1" applyBorder="1"/>
    <xf numFmtId="0" fontId="0" fillId="4" borderId="9" xfId="0" applyFill="1" applyBorder="1" applyAlignment="1">
      <alignment wrapText="1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3" borderId="0" xfId="0" applyFill="1" applyAlignment="1">
      <alignment wrapText="1"/>
    </xf>
    <xf numFmtId="164" fontId="3" fillId="0" borderId="0" xfId="1" applyNumberFormat="1" applyFont="1" applyAlignment="1">
      <alignment horizontal="left"/>
    </xf>
    <xf numFmtId="165" fontId="0" fillId="0" borderId="0" xfId="0" applyNumberFormat="1"/>
    <xf numFmtId="165" fontId="1" fillId="0" borderId="0" xfId="0" applyNumberFormat="1" applyFont="1"/>
    <xf numFmtId="4" fontId="0" fillId="0" borderId="1" xfId="0" applyNumberFormat="1" applyBorder="1"/>
    <xf numFmtId="17" fontId="0" fillId="0" borderId="1" xfId="0" applyNumberFormat="1" applyBorder="1"/>
    <xf numFmtId="3" fontId="0" fillId="0" borderId="0" xfId="0" applyNumberFormat="1"/>
    <xf numFmtId="6" fontId="0" fillId="0" borderId="0" xfId="0" applyNumberFormat="1"/>
    <xf numFmtId="166" fontId="0" fillId="0" borderId="0" xfId="0" applyNumberFormat="1" applyAlignment="1">
      <alignment wrapText="1"/>
    </xf>
    <xf numFmtId="166" fontId="8" fillId="2" borderId="1" xfId="0" applyNumberFormat="1" applyFont="1" applyFill="1" applyBorder="1"/>
    <xf numFmtId="166" fontId="7" fillId="0" borderId="0" xfId="0" applyNumberFormat="1" applyFont="1"/>
    <xf numFmtId="0" fontId="1" fillId="0" borderId="0" xfId="0" applyFont="1" applyAlignment="1">
      <alignment horizontal="center" wrapText="1"/>
    </xf>
    <xf numFmtId="166" fontId="0" fillId="4" borderId="1" xfId="0" applyNumberFormat="1" applyFill="1" applyBorder="1"/>
    <xf numFmtId="166" fontId="1" fillId="4" borderId="1" xfId="0" applyNumberFormat="1" applyFont="1" applyFill="1" applyBorder="1"/>
    <xf numFmtId="166" fontId="0" fillId="0" borderId="0" xfId="0" applyNumberFormat="1" applyAlignment="1">
      <alignment horizontal="center" wrapText="1"/>
    </xf>
    <xf numFmtId="16" fontId="0" fillId="0" borderId="1" xfId="0" applyNumberFormat="1" applyBorder="1"/>
    <xf numFmtId="0" fontId="0" fillId="4" borderId="11" xfId="0" applyFill="1" applyBorder="1" applyAlignment="1">
      <alignment wrapText="1"/>
    </xf>
    <xf numFmtId="166" fontId="8" fillId="0" borderId="1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95"/>
  <sheetViews>
    <sheetView tabSelected="1" topLeftCell="B1" zoomScale="80" zoomScaleNormal="80" workbookViewId="0">
      <pane xSplit="1" ySplit="3" topLeftCell="Z73" activePane="bottomRight" state="frozen"/>
      <selection activeCell="B1" sqref="B1"/>
      <selection pane="topRight" activeCell="C1" sqref="C1"/>
      <selection pane="bottomLeft" activeCell="B4" sqref="B4"/>
      <selection pane="bottomRight" activeCell="AF94" sqref="AF94"/>
    </sheetView>
  </sheetViews>
  <sheetFormatPr defaultRowHeight="15" x14ac:dyDescent="0.25"/>
  <cols>
    <col min="2" max="2" width="36.42578125" customWidth="1"/>
    <col min="3" max="3" width="11.140625" bestFit="1" customWidth="1"/>
    <col min="4" max="4" width="13" customWidth="1"/>
    <col min="5" max="5" width="10.85546875" bestFit="1" customWidth="1"/>
    <col min="6" max="6" width="12" bestFit="1" customWidth="1"/>
    <col min="7" max="7" width="11.7109375" customWidth="1"/>
    <col min="8" max="8" width="11.85546875" bestFit="1" customWidth="1"/>
    <col min="9" max="9" width="12" bestFit="1" customWidth="1"/>
    <col min="10" max="10" width="13" customWidth="1"/>
    <col min="11" max="11" width="10.140625" bestFit="1" customWidth="1"/>
    <col min="12" max="12" width="12" bestFit="1" customWidth="1"/>
    <col min="13" max="13" width="13.42578125" customWidth="1"/>
    <col min="14" max="14" width="10.140625" bestFit="1" customWidth="1"/>
    <col min="15" max="16" width="12" bestFit="1" customWidth="1"/>
    <col min="17" max="17" width="10.140625" bestFit="1" customWidth="1"/>
    <col min="18" max="18" width="12" bestFit="1" customWidth="1"/>
    <col min="19" max="19" width="12.7109375" bestFit="1" customWidth="1"/>
    <col min="20" max="20" width="11.140625" bestFit="1" customWidth="1"/>
    <col min="21" max="22" width="12" bestFit="1" customWidth="1"/>
    <col min="23" max="23" width="10.140625" bestFit="1" customWidth="1"/>
    <col min="24" max="25" width="12" bestFit="1" customWidth="1"/>
    <col min="26" max="26" width="10.140625" bestFit="1" customWidth="1"/>
    <col min="27" max="28" width="12" bestFit="1" customWidth="1"/>
    <col min="29" max="29" width="10.140625" bestFit="1" customWidth="1"/>
    <col min="30" max="31" width="12" bestFit="1" customWidth="1"/>
    <col min="32" max="32" width="10.140625" bestFit="1" customWidth="1"/>
    <col min="33" max="34" width="12" bestFit="1" customWidth="1"/>
    <col min="35" max="35" width="10.140625" bestFit="1" customWidth="1"/>
    <col min="36" max="37" width="12" bestFit="1" customWidth="1"/>
    <col min="38" max="38" width="10.85546875" bestFit="1" customWidth="1"/>
    <col min="39" max="39" width="12" bestFit="1" customWidth="1"/>
    <col min="40" max="40" width="17.5703125" bestFit="1" customWidth="1"/>
    <col min="41" max="41" width="11.5703125" bestFit="1" customWidth="1"/>
    <col min="42" max="42" width="12.140625" customWidth="1"/>
    <col min="43" max="43" width="9.85546875" bestFit="1" customWidth="1"/>
    <col min="44" max="44" width="10.28515625" bestFit="1" customWidth="1"/>
  </cols>
  <sheetData>
    <row r="1" spans="2:44" ht="15.75" thickBot="1" x14ac:dyDescent="0.3"/>
    <row r="2" spans="2:44" x14ac:dyDescent="0.25">
      <c r="B2" s="1" t="s">
        <v>45</v>
      </c>
      <c r="C2" s="47" t="s">
        <v>5</v>
      </c>
      <c r="D2" s="48"/>
      <c r="E2" s="49"/>
      <c r="F2" s="47" t="s">
        <v>6</v>
      </c>
      <c r="G2" s="48"/>
      <c r="H2" s="49"/>
      <c r="I2" s="47" t="s">
        <v>7</v>
      </c>
      <c r="J2" s="48"/>
      <c r="K2" s="49"/>
      <c r="L2" s="47" t="s">
        <v>8</v>
      </c>
      <c r="M2" s="48"/>
      <c r="N2" s="49"/>
      <c r="O2" s="47" t="s">
        <v>28</v>
      </c>
      <c r="P2" s="48"/>
      <c r="Q2" s="49"/>
      <c r="R2" s="47" t="s">
        <v>29</v>
      </c>
      <c r="S2" s="48"/>
      <c r="T2" s="49"/>
      <c r="U2" s="47" t="s">
        <v>30</v>
      </c>
      <c r="V2" s="48"/>
      <c r="W2" s="49"/>
      <c r="X2" s="47" t="s">
        <v>31</v>
      </c>
      <c r="Y2" s="48"/>
      <c r="Z2" s="49"/>
      <c r="AA2" s="47" t="s">
        <v>32</v>
      </c>
      <c r="AB2" s="48"/>
      <c r="AC2" s="49"/>
      <c r="AD2" s="47" t="s">
        <v>33</v>
      </c>
      <c r="AE2" s="48"/>
      <c r="AF2" s="49"/>
      <c r="AG2" s="47" t="s">
        <v>34</v>
      </c>
      <c r="AH2" s="48"/>
      <c r="AI2" s="49"/>
      <c r="AJ2" s="47" t="s">
        <v>9</v>
      </c>
      <c r="AK2" s="48"/>
      <c r="AL2" s="49"/>
      <c r="AM2" s="47" t="s">
        <v>2</v>
      </c>
      <c r="AN2" s="48"/>
      <c r="AO2" s="49"/>
    </row>
    <row r="3" spans="2:44" ht="15.75" thickBot="1" x14ac:dyDescent="0.3">
      <c r="B3" t="s">
        <v>177</v>
      </c>
      <c r="C3" s="9" t="s">
        <v>4</v>
      </c>
      <c r="D3" s="7" t="s">
        <v>0</v>
      </c>
      <c r="E3" s="8" t="s">
        <v>25</v>
      </c>
      <c r="F3" s="9" t="s">
        <v>4</v>
      </c>
      <c r="G3" s="7" t="s">
        <v>0</v>
      </c>
      <c r="H3" s="8" t="s">
        <v>25</v>
      </c>
      <c r="I3" s="9" t="s">
        <v>4</v>
      </c>
      <c r="J3" s="7" t="s">
        <v>0</v>
      </c>
      <c r="K3" s="8" t="s">
        <v>25</v>
      </c>
      <c r="L3" s="9" t="s">
        <v>4</v>
      </c>
      <c r="M3" s="7" t="s">
        <v>0</v>
      </c>
      <c r="N3" s="8" t="s">
        <v>25</v>
      </c>
      <c r="O3" s="9" t="s">
        <v>4</v>
      </c>
      <c r="P3" s="7" t="s">
        <v>0</v>
      </c>
      <c r="Q3" s="8" t="s">
        <v>25</v>
      </c>
      <c r="R3" s="9" t="s">
        <v>4</v>
      </c>
      <c r="S3" s="7" t="s">
        <v>0</v>
      </c>
      <c r="T3" s="8" t="s">
        <v>25</v>
      </c>
      <c r="U3" s="9" t="s">
        <v>4</v>
      </c>
      <c r="V3" s="7" t="s">
        <v>0</v>
      </c>
      <c r="W3" s="8" t="s">
        <v>25</v>
      </c>
      <c r="X3" s="9" t="s">
        <v>4</v>
      </c>
      <c r="Y3" s="7" t="s">
        <v>0</v>
      </c>
      <c r="Z3" s="8" t="s">
        <v>25</v>
      </c>
      <c r="AA3" s="9" t="s">
        <v>4</v>
      </c>
      <c r="AB3" s="7" t="s">
        <v>0</v>
      </c>
      <c r="AC3" s="8" t="s">
        <v>25</v>
      </c>
      <c r="AD3" s="9" t="s">
        <v>4</v>
      </c>
      <c r="AE3" s="7" t="s">
        <v>0</v>
      </c>
      <c r="AF3" s="8" t="s">
        <v>25</v>
      </c>
      <c r="AG3" s="9" t="s">
        <v>4</v>
      </c>
      <c r="AH3" s="7" t="s">
        <v>0</v>
      </c>
      <c r="AI3" s="8" t="s">
        <v>25</v>
      </c>
      <c r="AJ3" s="9" t="s">
        <v>4</v>
      </c>
      <c r="AK3" s="7" t="s">
        <v>0</v>
      </c>
      <c r="AL3" s="8" t="s">
        <v>25</v>
      </c>
      <c r="AM3" s="9" t="s">
        <v>4</v>
      </c>
      <c r="AN3" s="7" t="s">
        <v>0</v>
      </c>
      <c r="AO3" s="8" t="s">
        <v>25</v>
      </c>
    </row>
    <row r="4" spans="2:44" x14ac:dyDescent="0.25">
      <c r="B4" s="1" t="s">
        <v>10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2:44" x14ac:dyDescent="0.25">
      <c r="B5" s="4" t="s">
        <v>11</v>
      </c>
      <c r="C5" s="12">
        <v>34581</v>
      </c>
      <c r="D5" s="13">
        <v>34581</v>
      </c>
      <c r="E5" s="13">
        <f t="shared" ref="E5:E14" si="0">SUM(C5-D5)</f>
        <v>0</v>
      </c>
      <c r="F5" s="12"/>
      <c r="G5" s="13"/>
      <c r="H5" s="13">
        <f t="shared" ref="H5:H14" si="1">SUM(F5-G5)</f>
        <v>0</v>
      </c>
      <c r="I5" s="12"/>
      <c r="J5" s="13"/>
      <c r="K5" s="13">
        <f t="shared" ref="K5:K14" si="2">SUM(I5-J5)</f>
        <v>0</v>
      </c>
      <c r="L5" s="12"/>
      <c r="M5" s="13"/>
      <c r="N5" s="13">
        <f t="shared" ref="N5:N14" si="3">SUM(L5-M5)</f>
        <v>0</v>
      </c>
      <c r="O5" s="12"/>
      <c r="P5" s="13"/>
      <c r="Q5" s="13">
        <f t="shared" ref="Q5:Q14" si="4">SUM(O5-P5)</f>
        <v>0</v>
      </c>
      <c r="R5" s="12">
        <v>34581</v>
      </c>
      <c r="S5" s="13">
        <v>35019</v>
      </c>
      <c r="T5" s="13">
        <f t="shared" ref="T5:T14" si="5">SUM(R5-S5)</f>
        <v>-438</v>
      </c>
      <c r="U5" s="12"/>
      <c r="V5" s="13"/>
      <c r="W5" s="13">
        <f t="shared" ref="W5:W14" si="6">SUM(U5-V5)</f>
        <v>0</v>
      </c>
      <c r="X5" s="12"/>
      <c r="Y5" s="13"/>
      <c r="Z5" s="13">
        <f t="shared" ref="Z5:Z14" si="7">SUM(X5-Y5)</f>
        <v>0</v>
      </c>
      <c r="AA5" s="12"/>
      <c r="AB5" s="13"/>
      <c r="AC5" s="13">
        <f t="shared" ref="AC5:AC14" si="8">SUM(AA5-AB5)</f>
        <v>0</v>
      </c>
      <c r="AD5" s="12"/>
      <c r="AE5" s="13"/>
      <c r="AF5" s="13">
        <f t="shared" ref="AF5:AF14" si="9">SUM(AD5-AE5)</f>
        <v>0</v>
      </c>
      <c r="AG5" s="12"/>
      <c r="AH5" s="13"/>
      <c r="AI5" s="13">
        <f t="shared" ref="AI5:AI14" si="10">SUM(AG5-AH5)</f>
        <v>0</v>
      </c>
      <c r="AJ5" s="12"/>
      <c r="AK5" s="13"/>
      <c r="AL5" s="13">
        <f t="shared" ref="AL5:AL14" si="11">SUM(AJ5-AK5)</f>
        <v>0</v>
      </c>
      <c r="AM5" s="12">
        <f t="shared" ref="AM5:AM16" si="12">C5+F5+I5+L5+O5+R5+U5+X5+AA5+AD5+AG5+AJ5</f>
        <v>69162</v>
      </c>
      <c r="AN5" s="13">
        <f t="shared" ref="AN5:AN16" si="13">D5+G5+J5+M5+P5+S5+V5+Y5+AB5+AE5+AH5+AK5</f>
        <v>69600</v>
      </c>
      <c r="AO5" s="13">
        <f t="shared" ref="AO5:AO16" si="14">E5+H5+K5+N5+Q5+T5+W5+Z5+AC5+AF5+AI5+AL5</f>
        <v>-438</v>
      </c>
      <c r="AP5" s="11"/>
    </row>
    <row r="6" spans="2:44" x14ac:dyDescent="0.25">
      <c r="B6" s="4" t="s">
        <v>12</v>
      </c>
      <c r="C6" s="12">
        <v>507.5</v>
      </c>
      <c r="D6" s="13">
        <v>438</v>
      </c>
      <c r="E6" s="13">
        <f t="shared" si="0"/>
        <v>69.5</v>
      </c>
      <c r="F6" s="12"/>
      <c r="G6" s="13"/>
      <c r="H6" s="13">
        <f t="shared" si="1"/>
        <v>0</v>
      </c>
      <c r="I6" s="12"/>
      <c r="J6" s="13"/>
      <c r="K6" s="13">
        <f t="shared" si="2"/>
        <v>0</v>
      </c>
      <c r="L6" s="12"/>
      <c r="M6" s="13"/>
      <c r="N6" s="13">
        <f t="shared" si="3"/>
        <v>0</v>
      </c>
      <c r="O6" s="12"/>
      <c r="P6" s="13"/>
      <c r="Q6" s="13">
        <f t="shared" si="4"/>
        <v>0</v>
      </c>
      <c r="R6" s="12">
        <v>507.5</v>
      </c>
      <c r="S6" s="13"/>
      <c r="T6" s="13">
        <f t="shared" si="5"/>
        <v>507.5</v>
      </c>
      <c r="U6" s="12"/>
      <c r="V6" s="13"/>
      <c r="W6" s="13">
        <f t="shared" si="6"/>
        <v>0</v>
      </c>
      <c r="X6" s="12"/>
      <c r="Y6" s="13"/>
      <c r="Z6" s="13">
        <f t="shared" si="7"/>
        <v>0</v>
      </c>
      <c r="AA6" s="12"/>
      <c r="AB6" s="13"/>
      <c r="AC6" s="13">
        <f t="shared" si="8"/>
        <v>0</v>
      </c>
      <c r="AD6" s="12"/>
      <c r="AE6" s="13"/>
      <c r="AF6" s="13">
        <f t="shared" si="9"/>
        <v>0</v>
      </c>
      <c r="AG6" s="12"/>
      <c r="AH6" s="13"/>
      <c r="AI6" s="13">
        <f t="shared" si="10"/>
        <v>0</v>
      </c>
      <c r="AJ6" s="12"/>
      <c r="AK6" s="13"/>
      <c r="AL6" s="13">
        <f t="shared" si="11"/>
        <v>0</v>
      </c>
      <c r="AM6" s="12">
        <f t="shared" si="12"/>
        <v>1015</v>
      </c>
      <c r="AN6" s="13">
        <f t="shared" si="13"/>
        <v>438</v>
      </c>
      <c r="AO6" s="13">
        <f t="shared" si="14"/>
        <v>577</v>
      </c>
      <c r="AP6" s="11"/>
    </row>
    <row r="7" spans="2:44" x14ac:dyDescent="0.25">
      <c r="B7" s="4" t="s">
        <v>166</v>
      </c>
      <c r="C7" s="12">
        <v>100</v>
      </c>
      <c r="D7" s="13">
        <v>500</v>
      </c>
      <c r="E7" s="13">
        <f t="shared" si="0"/>
        <v>-400</v>
      </c>
      <c r="F7" s="12"/>
      <c r="G7" s="13"/>
      <c r="H7" s="13">
        <f t="shared" si="1"/>
        <v>0</v>
      </c>
      <c r="I7" s="12">
        <v>100</v>
      </c>
      <c r="J7" s="13">
        <v>400</v>
      </c>
      <c r="K7" s="13">
        <f t="shared" si="2"/>
        <v>-300</v>
      </c>
      <c r="L7" s="12"/>
      <c r="M7" s="13"/>
      <c r="N7" s="13">
        <f t="shared" si="3"/>
        <v>0</v>
      </c>
      <c r="O7" s="12"/>
      <c r="P7" s="13">
        <v>400</v>
      </c>
      <c r="Q7" s="13">
        <f t="shared" si="4"/>
        <v>-400</v>
      </c>
      <c r="R7" s="12"/>
      <c r="S7" s="13"/>
      <c r="T7" s="13">
        <f t="shared" si="5"/>
        <v>0</v>
      </c>
      <c r="U7" s="12"/>
      <c r="V7" s="13"/>
      <c r="W7" s="13">
        <f t="shared" si="6"/>
        <v>0</v>
      </c>
      <c r="X7" s="12"/>
      <c r="Y7" s="13"/>
      <c r="Z7" s="13">
        <f t="shared" si="7"/>
        <v>0</v>
      </c>
      <c r="AA7" s="12"/>
      <c r="AB7" s="13"/>
      <c r="AC7" s="13">
        <f t="shared" si="8"/>
        <v>0</v>
      </c>
      <c r="AD7" s="12"/>
      <c r="AE7" s="13">
        <v>50</v>
      </c>
      <c r="AF7" s="13">
        <f t="shared" si="9"/>
        <v>-50</v>
      </c>
      <c r="AG7" s="12"/>
      <c r="AH7" s="13">
        <v>500</v>
      </c>
      <c r="AI7" s="13">
        <f t="shared" si="10"/>
        <v>-500</v>
      </c>
      <c r="AJ7" s="12"/>
      <c r="AK7" s="13"/>
      <c r="AL7" s="13">
        <f t="shared" si="11"/>
        <v>0</v>
      </c>
      <c r="AM7" s="12">
        <f t="shared" si="12"/>
        <v>200</v>
      </c>
      <c r="AN7" s="13">
        <f t="shared" si="13"/>
        <v>1850</v>
      </c>
      <c r="AO7" s="13">
        <f t="shared" si="14"/>
        <v>-1650</v>
      </c>
      <c r="AP7" s="11"/>
      <c r="AQ7" s="50"/>
      <c r="AR7" s="50"/>
    </row>
    <row r="8" spans="2:44" x14ac:dyDescent="0.25">
      <c r="B8" s="4" t="s">
        <v>13</v>
      </c>
      <c r="C8" s="12">
        <v>430.5</v>
      </c>
      <c r="D8" s="13">
        <v>420</v>
      </c>
      <c r="E8" s="13">
        <f t="shared" si="0"/>
        <v>10.5</v>
      </c>
      <c r="F8" s="12"/>
      <c r="G8" s="13"/>
      <c r="H8" s="13">
        <f t="shared" si="1"/>
        <v>0</v>
      </c>
      <c r="I8" s="12"/>
      <c r="J8" s="13">
        <v>40</v>
      </c>
      <c r="K8" s="13">
        <f t="shared" si="2"/>
        <v>-40</v>
      </c>
      <c r="L8" s="12"/>
      <c r="M8" s="13"/>
      <c r="N8" s="13">
        <f t="shared" si="3"/>
        <v>0</v>
      </c>
      <c r="O8" s="12"/>
      <c r="P8" s="13">
        <v>20</v>
      </c>
      <c r="Q8" s="13">
        <f t="shared" si="4"/>
        <v>-20</v>
      </c>
      <c r="R8" s="12"/>
      <c r="S8" s="13"/>
      <c r="T8" s="13">
        <f t="shared" si="5"/>
        <v>0</v>
      </c>
      <c r="U8" s="12"/>
      <c r="V8" s="13"/>
      <c r="W8" s="13">
        <f t="shared" si="6"/>
        <v>0</v>
      </c>
      <c r="X8" s="12"/>
      <c r="Y8" s="13"/>
      <c r="Z8" s="13">
        <f t="shared" si="7"/>
        <v>0</v>
      </c>
      <c r="AA8" s="12"/>
      <c r="AB8" s="13"/>
      <c r="AC8" s="13">
        <f t="shared" si="8"/>
        <v>0</v>
      </c>
      <c r="AD8" s="12"/>
      <c r="AE8" s="13"/>
      <c r="AF8" s="13">
        <f t="shared" si="9"/>
        <v>0</v>
      </c>
      <c r="AG8" s="12"/>
      <c r="AH8" s="13"/>
      <c r="AI8" s="13">
        <f t="shared" si="10"/>
        <v>0</v>
      </c>
      <c r="AJ8" s="12"/>
      <c r="AK8" s="13"/>
      <c r="AL8" s="13">
        <f t="shared" si="11"/>
        <v>0</v>
      </c>
      <c r="AM8" s="12">
        <f t="shared" si="12"/>
        <v>430.5</v>
      </c>
      <c r="AN8" s="13">
        <f t="shared" si="13"/>
        <v>480</v>
      </c>
      <c r="AO8" s="13">
        <f t="shared" si="14"/>
        <v>-49.5</v>
      </c>
      <c r="AP8" s="11"/>
      <c r="AQ8" s="50"/>
      <c r="AR8" s="50"/>
    </row>
    <row r="9" spans="2:44" x14ac:dyDescent="0.25">
      <c r="B9" s="4" t="s">
        <v>51</v>
      </c>
      <c r="C9" s="12"/>
      <c r="D9" s="13"/>
      <c r="E9" s="13">
        <f t="shared" si="0"/>
        <v>0</v>
      </c>
      <c r="F9" s="12"/>
      <c r="G9" s="13"/>
      <c r="H9" s="13">
        <f t="shared" si="1"/>
        <v>0</v>
      </c>
      <c r="I9" s="12"/>
      <c r="J9" s="13"/>
      <c r="K9" s="13">
        <f t="shared" si="2"/>
        <v>0</v>
      </c>
      <c r="L9" s="12"/>
      <c r="M9" s="13"/>
      <c r="N9" s="13">
        <f t="shared" si="3"/>
        <v>0</v>
      </c>
      <c r="O9" s="12"/>
      <c r="P9" s="13"/>
      <c r="Q9" s="13">
        <f t="shared" si="4"/>
        <v>0</v>
      </c>
      <c r="R9" s="12"/>
      <c r="S9" s="13"/>
      <c r="T9" s="13">
        <f t="shared" si="5"/>
        <v>0</v>
      </c>
      <c r="U9" s="12"/>
      <c r="V9" s="13"/>
      <c r="W9" s="13">
        <f t="shared" si="6"/>
        <v>0</v>
      </c>
      <c r="X9" s="12"/>
      <c r="Y9" s="13"/>
      <c r="Z9" s="13">
        <f t="shared" si="7"/>
        <v>0</v>
      </c>
      <c r="AA9" s="12"/>
      <c r="AB9" s="13"/>
      <c r="AC9" s="13">
        <f t="shared" si="8"/>
        <v>0</v>
      </c>
      <c r="AD9" s="12"/>
      <c r="AE9" s="13"/>
      <c r="AF9" s="13">
        <f t="shared" si="9"/>
        <v>0</v>
      </c>
      <c r="AG9" s="12"/>
      <c r="AH9" s="13"/>
      <c r="AI9" s="13">
        <f t="shared" si="10"/>
        <v>0</v>
      </c>
      <c r="AJ9" s="12"/>
      <c r="AK9" s="13"/>
      <c r="AL9" s="13">
        <f t="shared" si="11"/>
        <v>0</v>
      </c>
      <c r="AM9" s="12">
        <f t="shared" si="12"/>
        <v>0</v>
      </c>
      <c r="AN9" s="13">
        <f t="shared" si="13"/>
        <v>0</v>
      </c>
      <c r="AO9" s="13">
        <f t="shared" si="14"/>
        <v>0</v>
      </c>
      <c r="AP9" s="11"/>
    </row>
    <row r="10" spans="2:44" x14ac:dyDescent="0.25">
      <c r="B10" s="4" t="s">
        <v>14</v>
      </c>
      <c r="C10" s="12"/>
      <c r="D10" s="13"/>
      <c r="E10" s="13">
        <f t="shared" ref="E10:E13" si="15">SUM(C10-D10)</f>
        <v>0</v>
      </c>
      <c r="F10" s="12"/>
      <c r="G10" s="13"/>
      <c r="H10" s="13">
        <f t="shared" si="1"/>
        <v>0</v>
      </c>
      <c r="I10" s="12"/>
      <c r="J10" s="13"/>
      <c r="K10" s="13">
        <f t="shared" si="2"/>
        <v>0</v>
      </c>
      <c r="L10" s="12"/>
      <c r="M10" s="13"/>
      <c r="N10" s="13">
        <f t="shared" si="3"/>
        <v>0</v>
      </c>
      <c r="O10" s="12"/>
      <c r="P10" s="13"/>
      <c r="Q10" s="13">
        <f t="shared" si="4"/>
        <v>0</v>
      </c>
      <c r="R10" s="12"/>
      <c r="S10" s="13"/>
      <c r="T10" s="13">
        <f t="shared" si="5"/>
        <v>0</v>
      </c>
      <c r="U10" s="12"/>
      <c r="V10" s="13"/>
      <c r="W10" s="13">
        <f t="shared" si="6"/>
        <v>0</v>
      </c>
      <c r="X10" s="12"/>
      <c r="Y10" s="13">
        <f>367+459</f>
        <v>826</v>
      </c>
      <c r="Z10" s="13">
        <f t="shared" si="7"/>
        <v>-826</v>
      </c>
      <c r="AA10" s="12"/>
      <c r="AB10" s="13"/>
      <c r="AC10" s="13">
        <f t="shared" si="8"/>
        <v>0</v>
      </c>
      <c r="AD10" s="12"/>
      <c r="AE10" s="13"/>
      <c r="AF10" s="13">
        <f t="shared" si="9"/>
        <v>0</v>
      </c>
      <c r="AG10" s="12"/>
      <c r="AH10" s="13"/>
      <c r="AI10" s="13">
        <f t="shared" si="10"/>
        <v>0</v>
      </c>
      <c r="AJ10" s="12"/>
      <c r="AK10" s="13"/>
      <c r="AL10" s="13">
        <f t="shared" si="11"/>
        <v>0</v>
      </c>
      <c r="AM10" s="12">
        <f t="shared" si="12"/>
        <v>0</v>
      </c>
      <c r="AN10" s="13">
        <f t="shared" si="13"/>
        <v>826</v>
      </c>
      <c r="AO10" s="13">
        <f t="shared" si="14"/>
        <v>-826</v>
      </c>
      <c r="AP10" s="11"/>
    </row>
    <row r="11" spans="2:44" x14ac:dyDescent="0.25">
      <c r="B11" s="4" t="s">
        <v>52</v>
      </c>
      <c r="C11" s="12"/>
      <c r="D11" s="13"/>
      <c r="E11" s="13">
        <f t="shared" si="15"/>
        <v>0</v>
      </c>
      <c r="F11" s="12">
        <v>5</v>
      </c>
      <c r="G11" s="13"/>
      <c r="H11" s="13">
        <f t="shared" ref="H11" si="16">SUM(F11-G11)</f>
        <v>5</v>
      </c>
      <c r="I11" s="12">
        <v>1</v>
      </c>
      <c r="J11" s="13"/>
      <c r="K11" s="13">
        <f t="shared" ref="K11" si="17">SUM(I11-J11)</f>
        <v>1</v>
      </c>
      <c r="L11" s="12"/>
      <c r="M11" s="13"/>
      <c r="N11" s="13">
        <f t="shared" ref="N11" si="18">SUM(L11-M11)</f>
        <v>0</v>
      </c>
      <c r="O11" s="12"/>
      <c r="P11" s="13"/>
      <c r="Q11" s="13">
        <f t="shared" ref="Q11" si="19">SUM(O11-P11)</f>
        <v>0</v>
      </c>
      <c r="R11" s="12"/>
      <c r="S11" s="13"/>
      <c r="T11" s="13">
        <f t="shared" ref="T11" si="20">SUM(R11-S11)</f>
        <v>0</v>
      </c>
      <c r="U11" s="12"/>
      <c r="V11" s="13">
        <v>5</v>
      </c>
      <c r="W11" s="13">
        <f t="shared" ref="W11" si="21">SUM(U11-V11)</f>
        <v>-5</v>
      </c>
      <c r="X11" s="12"/>
      <c r="Y11" s="13">
        <v>1</v>
      </c>
      <c r="Z11" s="13">
        <f t="shared" ref="Z11" si="22">SUM(X11-Y11)</f>
        <v>-1</v>
      </c>
      <c r="AA11" s="12"/>
      <c r="AB11" s="13"/>
      <c r="AC11" s="13">
        <f t="shared" ref="AC11" si="23">SUM(AA11-AB11)</f>
        <v>0</v>
      </c>
      <c r="AD11" s="12"/>
      <c r="AE11" s="13"/>
      <c r="AF11" s="13">
        <f t="shared" ref="AF11" si="24">SUM(AD11-AE11)</f>
        <v>0</v>
      </c>
      <c r="AG11" s="12"/>
      <c r="AH11" s="13"/>
      <c r="AI11" s="13">
        <f t="shared" ref="AI11" si="25">SUM(AG11-AH11)</f>
        <v>0</v>
      </c>
      <c r="AJ11" s="12"/>
      <c r="AK11" s="13"/>
      <c r="AL11" s="13">
        <f t="shared" ref="AL11" si="26">SUM(AJ11-AK11)</f>
        <v>0</v>
      </c>
      <c r="AM11" s="12">
        <f t="shared" si="12"/>
        <v>6</v>
      </c>
      <c r="AN11" s="13">
        <f t="shared" si="13"/>
        <v>6</v>
      </c>
      <c r="AO11" s="13">
        <f t="shared" si="14"/>
        <v>0</v>
      </c>
      <c r="AP11" s="11"/>
    </row>
    <row r="12" spans="2:44" x14ac:dyDescent="0.25">
      <c r="B12" s="4" t="s">
        <v>57</v>
      </c>
      <c r="C12" s="12"/>
      <c r="D12" s="13"/>
      <c r="E12" s="13">
        <f t="shared" si="15"/>
        <v>0</v>
      </c>
      <c r="F12" s="12"/>
      <c r="G12" s="13"/>
      <c r="H12" s="13">
        <f t="shared" si="1"/>
        <v>0</v>
      </c>
      <c r="I12" s="12"/>
      <c r="J12" s="13"/>
      <c r="K12" s="13">
        <f t="shared" si="2"/>
        <v>0</v>
      </c>
      <c r="L12" s="12"/>
      <c r="M12" s="13"/>
      <c r="N12" s="13">
        <f t="shared" si="3"/>
        <v>0</v>
      </c>
      <c r="O12" s="12"/>
      <c r="P12" s="13">
        <v>965</v>
      </c>
      <c r="Q12" s="13">
        <f t="shared" si="4"/>
        <v>-965</v>
      </c>
      <c r="R12" s="12"/>
      <c r="S12" s="13"/>
      <c r="T12" s="13">
        <f t="shared" si="5"/>
        <v>0</v>
      </c>
      <c r="U12" s="12"/>
      <c r="V12" s="13"/>
      <c r="W12" s="13">
        <f t="shared" si="6"/>
        <v>0</v>
      </c>
      <c r="X12" s="12"/>
      <c r="Y12" s="13"/>
      <c r="Z12" s="13">
        <f t="shared" si="7"/>
        <v>0</v>
      </c>
      <c r="AA12" s="12"/>
      <c r="AB12" s="13"/>
      <c r="AC12" s="13">
        <f t="shared" si="8"/>
        <v>0</v>
      </c>
      <c r="AD12" s="12"/>
      <c r="AE12" s="13"/>
      <c r="AF12" s="13">
        <f t="shared" si="9"/>
        <v>0</v>
      </c>
      <c r="AG12" s="12"/>
      <c r="AH12" s="13"/>
      <c r="AI12" s="13">
        <f t="shared" si="10"/>
        <v>0</v>
      </c>
      <c r="AJ12" s="12"/>
      <c r="AK12" s="13"/>
      <c r="AL12" s="13">
        <f t="shared" ref="AL12" si="27">SUM(AJ12-AK12)</f>
        <v>0</v>
      </c>
      <c r="AM12" s="12">
        <f t="shared" si="12"/>
        <v>0</v>
      </c>
      <c r="AN12" s="13">
        <f t="shared" si="13"/>
        <v>965</v>
      </c>
      <c r="AO12" s="13">
        <f t="shared" si="14"/>
        <v>-965</v>
      </c>
      <c r="AP12" s="11"/>
      <c r="AQ12" s="11"/>
    </row>
    <row r="13" spans="2:44" x14ac:dyDescent="0.25">
      <c r="B13" s="4" t="s">
        <v>47</v>
      </c>
      <c r="C13" s="12"/>
      <c r="D13" s="13"/>
      <c r="E13" s="13">
        <f t="shared" si="15"/>
        <v>0</v>
      </c>
      <c r="F13" s="12"/>
      <c r="G13" s="13"/>
      <c r="H13" s="13">
        <f t="shared" si="1"/>
        <v>0</v>
      </c>
      <c r="I13" s="12"/>
      <c r="J13" s="13"/>
      <c r="K13" s="13">
        <f t="shared" si="2"/>
        <v>0</v>
      </c>
      <c r="L13" s="12"/>
      <c r="M13" s="13"/>
      <c r="N13" s="13">
        <f t="shared" si="3"/>
        <v>0</v>
      </c>
      <c r="O13" s="12"/>
      <c r="P13" s="13"/>
      <c r="Q13" s="13">
        <f t="shared" si="4"/>
        <v>0</v>
      </c>
      <c r="R13" s="12"/>
      <c r="S13" s="13"/>
      <c r="T13" s="13">
        <f t="shared" si="5"/>
        <v>0</v>
      </c>
      <c r="U13" s="12"/>
      <c r="V13" s="13"/>
      <c r="W13" s="13">
        <f t="shared" si="6"/>
        <v>0</v>
      </c>
      <c r="X13" s="12"/>
      <c r="Y13" s="13"/>
      <c r="Z13" s="13">
        <f t="shared" si="7"/>
        <v>0</v>
      </c>
      <c r="AA13" s="12"/>
      <c r="AB13" s="13"/>
      <c r="AC13" s="13">
        <f t="shared" si="8"/>
        <v>0</v>
      </c>
      <c r="AD13" s="12"/>
      <c r="AE13" s="13"/>
      <c r="AF13" s="13">
        <f t="shared" si="9"/>
        <v>0</v>
      </c>
      <c r="AG13" s="12"/>
      <c r="AH13" s="13"/>
      <c r="AI13" s="13">
        <f t="shared" si="10"/>
        <v>0</v>
      </c>
      <c r="AJ13" s="12"/>
      <c r="AK13" s="13"/>
      <c r="AL13" s="13">
        <f t="shared" si="11"/>
        <v>0</v>
      </c>
      <c r="AM13" s="12">
        <f t="shared" si="12"/>
        <v>0</v>
      </c>
      <c r="AN13" s="13">
        <f t="shared" si="13"/>
        <v>0</v>
      </c>
      <c r="AO13" s="13">
        <f t="shared" si="14"/>
        <v>0</v>
      </c>
      <c r="AP13" s="11"/>
    </row>
    <row r="14" spans="2:44" x14ac:dyDescent="0.25">
      <c r="B14" s="4" t="s">
        <v>184</v>
      </c>
      <c r="C14" s="12">
        <v>75</v>
      </c>
      <c r="D14" s="13"/>
      <c r="E14" s="13">
        <f t="shared" si="0"/>
        <v>75</v>
      </c>
      <c r="F14" s="12"/>
      <c r="G14" s="13"/>
      <c r="H14" s="13">
        <f t="shared" si="1"/>
        <v>0</v>
      </c>
      <c r="I14" s="12"/>
      <c r="J14" s="13"/>
      <c r="K14" s="13">
        <f t="shared" si="2"/>
        <v>0</v>
      </c>
      <c r="L14" s="12"/>
      <c r="M14" s="13"/>
      <c r="N14" s="13">
        <f t="shared" si="3"/>
        <v>0</v>
      </c>
      <c r="O14" s="12"/>
      <c r="P14" s="13"/>
      <c r="Q14" s="13">
        <f t="shared" si="4"/>
        <v>0</v>
      </c>
      <c r="R14" s="12">
        <v>20.27</v>
      </c>
      <c r="S14" s="13">
        <v>17.95</v>
      </c>
      <c r="T14" s="13">
        <f t="shared" si="5"/>
        <v>2.3200000000000003</v>
      </c>
      <c r="U14" s="12"/>
      <c r="V14" s="13"/>
      <c r="W14" s="13">
        <f t="shared" si="6"/>
        <v>0</v>
      </c>
      <c r="X14" s="12"/>
      <c r="Y14" s="13"/>
      <c r="Z14" s="13">
        <f t="shared" si="7"/>
        <v>0</v>
      </c>
      <c r="AA14" s="12"/>
      <c r="AB14" s="13"/>
      <c r="AC14" s="13">
        <f t="shared" si="8"/>
        <v>0</v>
      </c>
      <c r="AD14" s="12"/>
      <c r="AE14" s="13"/>
      <c r="AF14" s="13">
        <f t="shared" si="9"/>
        <v>0</v>
      </c>
      <c r="AG14" s="12"/>
      <c r="AH14" s="13">
        <v>75</v>
      </c>
      <c r="AI14" s="13">
        <f t="shared" si="10"/>
        <v>-75</v>
      </c>
      <c r="AJ14" s="12"/>
      <c r="AK14" s="13"/>
      <c r="AL14" s="13">
        <f t="shared" si="11"/>
        <v>0</v>
      </c>
      <c r="AM14" s="12">
        <f t="shared" si="12"/>
        <v>95.27</v>
      </c>
      <c r="AN14" s="13">
        <f t="shared" si="13"/>
        <v>92.95</v>
      </c>
      <c r="AO14" s="13">
        <f t="shared" si="14"/>
        <v>2.3199999999999932</v>
      </c>
      <c r="AP14" s="11"/>
    </row>
    <row r="15" spans="2:44" x14ac:dyDescent="0.25">
      <c r="B15" s="4" t="s">
        <v>178</v>
      </c>
      <c r="C15" s="12"/>
      <c r="D15" s="13">
        <v>8596.0300000000007</v>
      </c>
      <c r="E15" s="13">
        <f t="shared" ref="E15" si="28">SUM(C15-D15)</f>
        <v>-8596.0300000000007</v>
      </c>
      <c r="F15" s="12"/>
      <c r="G15" s="13"/>
      <c r="H15" s="13">
        <f t="shared" ref="H15" si="29">SUM(F15-G15)</f>
        <v>0</v>
      </c>
      <c r="I15" s="12"/>
      <c r="J15" s="13"/>
      <c r="K15" s="13">
        <f t="shared" ref="K15" si="30">SUM(I15-J15)</f>
        <v>0</v>
      </c>
      <c r="L15" s="12"/>
      <c r="M15" s="13"/>
      <c r="N15" s="13">
        <f t="shared" ref="N15" si="31">SUM(L15-M15)</f>
        <v>0</v>
      </c>
      <c r="O15" s="12"/>
      <c r="P15" s="13"/>
      <c r="Q15" s="13">
        <f t="shared" ref="Q15" si="32">SUM(O15-P15)</f>
        <v>0</v>
      </c>
      <c r="R15" s="12"/>
      <c r="S15" s="13"/>
      <c r="T15" s="13">
        <f t="shared" ref="T15" si="33">SUM(R15-S15)</f>
        <v>0</v>
      </c>
      <c r="U15" s="12"/>
      <c r="V15" s="13"/>
      <c r="W15" s="13">
        <f t="shared" ref="W15" si="34">SUM(U15-V15)</f>
        <v>0</v>
      </c>
      <c r="X15" s="12"/>
      <c r="Y15" s="13"/>
      <c r="Z15" s="13">
        <f t="shared" ref="Z15" si="35">SUM(X15-Y15)</f>
        <v>0</v>
      </c>
      <c r="AA15" s="12"/>
      <c r="AB15" s="13"/>
      <c r="AC15" s="13">
        <f t="shared" ref="AC15" si="36">SUM(AA15-AB15)</f>
        <v>0</v>
      </c>
      <c r="AD15" s="12"/>
      <c r="AE15" s="13"/>
      <c r="AF15" s="13">
        <f t="shared" ref="AF15" si="37">SUM(AD15-AE15)</f>
        <v>0</v>
      </c>
      <c r="AG15" s="12"/>
      <c r="AH15" s="13"/>
      <c r="AI15" s="13">
        <f t="shared" ref="AI15" si="38">SUM(AG15-AH15)</f>
        <v>0</v>
      </c>
      <c r="AJ15" s="12"/>
      <c r="AK15" s="13"/>
      <c r="AL15" s="13">
        <f t="shared" ref="AL15" si="39">SUM(AJ15-AK15)</f>
        <v>0</v>
      </c>
      <c r="AM15" s="12">
        <f t="shared" si="12"/>
        <v>0</v>
      </c>
      <c r="AN15" s="13">
        <f t="shared" si="13"/>
        <v>8596.0300000000007</v>
      </c>
      <c r="AO15" s="13">
        <f t="shared" si="14"/>
        <v>-8596.0300000000007</v>
      </c>
      <c r="AP15" s="11"/>
    </row>
    <row r="16" spans="2:44" s="1" customFormat="1" x14ac:dyDescent="0.25">
      <c r="B16" s="5" t="s">
        <v>26</v>
      </c>
      <c r="C16" s="14">
        <f t="shared" ref="C16:AL16" si="40">SUM(C5:C15)</f>
        <v>35694</v>
      </c>
      <c r="D16" s="15">
        <f t="shared" si="40"/>
        <v>44535.03</v>
      </c>
      <c r="E16" s="15">
        <f t="shared" si="40"/>
        <v>-8841.0300000000007</v>
      </c>
      <c r="F16" s="14">
        <f t="shared" si="40"/>
        <v>5</v>
      </c>
      <c r="G16" s="15">
        <f t="shared" si="40"/>
        <v>0</v>
      </c>
      <c r="H16" s="15">
        <f t="shared" si="40"/>
        <v>5</v>
      </c>
      <c r="I16" s="14">
        <f t="shared" si="40"/>
        <v>101</v>
      </c>
      <c r="J16" s="15">
        <f t="shared" si="40"/>
        <v>440</v>
      </c>
      <c r="K16" s="15">
        <f t="shared" si="40"/>
        <v>-339</v>
      </c>
      <c r="L16" s="14">
        <f t="shared" si="40"/>
        <v>0</v>
      </c>
      <c r="M16" s="15">
        <f t="shared" si="40"/>
        <v>0</v>
      </c>
      <c r="N16" s="15">
        <f t="shared" si="40"/>
        <v>0</v>
      </c>
      <c r="O16" s="14">
        <f t="shared" si="40"/>
        <v>0</v>
      </c>
      <c r="P16" s="15">
        <f t="shared" si="40"/>
        <v>1385</v>
      </c>
      <c r="Q16" s="15">
        <f t="shared" si="40"/>
        <v>-1385</v>
      </c>
      <c r="R16" s="14">
        <f t="shared" si="40"/>
        <v>35108.769999999997</v>
      </c>
      <c r="S16" s="15">
        <f t="shared" si="40"/>
        <v>35036.949999999997</v>
      </c>
      <c r="T16" s="15">
        <f t="shared" si="40"/>
        <v>71.819999999999993</v>
      </c>
      <c r="U16" s="14">
        <f t="shared" si="40"/>
        <v>0</v>
      </c>
      <c r="V16" s="15">
        <f t="shared" si="40"/>
        <v>5</v>
      </c>
      <c r="W16" s="15">
        <f t="shared" si="40"/>
        <v>-5</v>
      </c>
      <c r="X16" s="14">
        <f t="shared" si="40"/>
        <v>0</v>
      </c>
      <c r="Y16" s="15">
        <f t="shared" si="40"/>
        <v>827</v>
      </c>
      <c r="Z16" s="15">
        <f t="shared" si="40"/>
        <v>-827</v>
      </c>
      <c r="AA16" s="14">
        <f t="shared" si="40"/>
        <v>0</v>
      </c>
      <c r="AB16" s="15">
        <f t="shared" si="40"/>
        <v>0</v>
      </c>
      <c r="AC16" s="15">
        <f t="shared" si="40"/>
        <v>0</v>
      </c>
      <c r="AD16" s="14">
        <f t="shared" si="40"/>
        <v>0</v>
      </c>
      <c r="AE16" s="15">
        <f t="shared" si="40"/>
        <v>50</v>
      </c>
      <c r="AF16" s="15">
        <f t="shared" si="40"/>
        <v>-50</v>
      </c>
      <c r="AG16" s="14">
        <f t="shared" si="40"/>
        <v>0</v>
      </c>
      <c r="AH16" s="15">
        <f t="shared" si="40"/>
        <v>575</v>
      </c>
      <c r="AI16" s="15">
        <f t="shared" si="40"/>
        <v>-575</v>
      </c>
      <c r="AJ16" s="14">
        <f t="shared" si="40"/>
        <v>0</v>
      </c>
      <c r="AK16" s="15">
        <f t="shared" si="40"/>
        <v>0</v>
      </c>
      <c r="AL16" s="15">
        <f t="shared" si="40"/>
        <v>0</v>
      </c>
      <c r="AM16" s="12">
        <f t="shared" si="12"/>
        <v>70908.76999999999</v>
      </c>
      <c r="AN16" s="13">
        <f t="shared" si="13"/>
        <v>82853.98</v>
      </c>
      <c r="AO16" s="13">
        <f t="shared" si="14"/>
        <v>-11945.210000000001</v>
      </c>
      <c r="AP16" s="16"/>
    </row>
    <row r="17" spans="1:43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3" x14ac:dyDescent="0.25">
      <c r="B18" s="1" t="s">
        <v>15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3" x14ac:dyDescent="0.25">
      <c r="B19" s="4" t="s">
        <v>239</v>
      </c>
      <c r="C19" s="12">
        <v>460</v>
      </c>
      <c r="D19" s="13">
        <v>90</v>
      </c>
      <c r="E19" s="13">
        <f>SUM(C19-D19)</f>
        <v>370</v>
      </c>
      <c r="F19" s="12">
        <v>460</v>
      </c>
      <c r="G19" s="13">
        <v>1122</v>
      </c>
      <c r="H19" s="13">
        <f t="shared" ref="H19:H24" si="41">SUM(F19-G19)</f>
        <v>-662</v>
      </c>
      <c r="I19" s="12">
        <v>460</v>
      </c>
      <c r="J19" s="13">
        <v>1623.2</v>
      </c>
      <c r="K19" s="13">
        <f>SUM(I19-J19)</f>
        <v>-1163.2</v>
      </c>
      <c r="L19" s="12">
        <v>460</v>
      </c>
      <c r="M19" s="13"/>
      <c r="N19" s="13">
        <f>SUM(L19-M19)</f>
        <v>460</v>
      </c>
      <c r="O19" s="12">
        <v>460</v>
      </c>
      <c r="P19" s="13"/>
      <c r="Q19" s="13">
        <f>SUM(O19-P19)</f>
        <v>460</v>
      </c>
      <c r="R19" s="12">
        <v>460</v>
      </c>
      <c r="S19" s="13">
        <v>1527</v>
      </c>
      <c r="T19" s="13">
        <f>SUM(R19-S19)</f>
        <v>-1067</v>
      </c>
      <c r="U19" s="12">
        <v>460</v>
      </c>
      <c r="V19" s="13">
        <v>30</v>
      </c>
      <c r="W19" s="13">
        <f>SUM(U19-V19)</f>
        <v>430</v>
      </c>
      <c r="X19" s="12">
        <v>460</v>
      </c>
      <c r="Y19" s="13">
        <f>250+30+546</f>
        <v>826</v>
      </c>
      <c r="Z19" s="13">
        <f>SUM(X19-Y19)</f>
        <v>-366</v>
      </c>
      <c r="AA19" s="12">
        <v>460</v>
      </c>
      <c r="AB19" s="13">
        <f>447+90</f>
        <v>537</v>
      </c>
      <c r="AC19" s="13">
        <f>SUM(AA19-AB19)</f>
        <v>-77</v>
      </c>
      <c r="AD19" s="12">
        <v>460</v>
      </c>
      <c r="AE19" s="13">
        <v>385</v>
      </c>
      <c r="AF19" s="13">
        <f>SUM(AD19-AE19)</f>
        <v>75</v>
      </c>
      <c r="AG19" s="12">
        <v>460</v>
      </c>
      <c r="AH19" s="13">
        <v>600</v>
      </c>
      <c r="AI19" s="13">
        <f>SUM(AG19-AH19)</f>
        <v>-140</v>
      </c>
      <c r="AJ19" s="12">
        <v>440</v>
      </c>
      <c r="AK19" s="13">
        <v>447</v>
      </c>
      <c r="AL19" s="13">
        <f>SUM(AJ19-AK19)</f>
        <v>-7</v>
      </c>
      <c r="AM19" s="12">
        <f t="shared" ref="AM19:AO24" si="42">C19+F19+I19+L19+O19+R19+U19+X19+AA19+AD19+AG19+AJ19</f>
        <v>5500</v>
      </c>
      <c r="AN19" s="13">
        <f t="shared" si="42"/>
        <v>7187.2</v>
      </c>
      <c r="AO19" s="13">
        <f t="shared" si="42"/>
        <v>-1687.2</v>
      </c>
      <c r="AP19" s="11"/>
      <c r="AQ19" s="11"/>
    </row>
    <row r="20" spans="1:43" x14ac:dyDescent="0.25">
      <c r="B20" s="4" t="s">
        <v>61</v>
      </c>
      <c r="C20" s="12">
        <v>1000</v>
      </c>
      <c r="D20" s="13">
        <v>1000.84</v>
      </c>
      <c r="E20" s="13">
        <f>SUM(C20-D20)</f>
        <v>-0.84000000000003183</v>
      </c>
      <c r="F20" s="12">
        <v>1000</v>
      </c>
      <c r="G20" s="13">
        <v>1250</v>
      </c>
      <c r="H20" s="13">
        <f t="shared" si="41"/>
        <v>-250</v>
      </c>
      <c r="I20" s="12">
        <v>1200</v>
      </c>
      <c r="J20" s="13">
        <v>1200</v>
      </c>
      <c r="K20" s="13">
        <f>SUM(I20-J20)</f>
        <v>0</v>
      </c>
      <c r="L20" s="12">
        <v>1200</v>
      </c>
      <c r="M20" s="13">
        <v>1200</v>
      </c>
      <c r="N20" s="13">
        <f>SUM(L20-M20)</f>
        <v>0</v>
      </c>
      <c r="O20" s="12">
        <v>1200</v>
      </c>
      <c r="P20" s="13">
        <v>1200</v>
      </c>
      <c r="Q20" s="13">
        <f>SUM(O20-P20)</f>
        <v>0</v>
      </c>
      <c r="R20" s="12">
        <v>1200</v>
      </c>
      <c r="S20" s="13">
        <v>1200</v>
      </c>
      <c r="T20" s="13">
        <f>SUM(R20-S20)</f>
        <v>0</v>
      </c>
      <c r="U20" s="12">
        <v>1200</v>
      </c>
      <c r="V20" s="13">
        <v>1200</v>
      </c>
      <c r="W20" s="13">
        <f>SUM(U20-V20)</f>
        <v>0</v>
      </c>
      <c r="X20" s="12">
        <v>1200</v>
      </c>
      <c r="Y20" s="13">
        <v>1200</v>
      </c>
      <c r="Z20" s="13">
        <f>SUM(X20-Y20)</f>
        <v>0</v>
      </c>
      <c r="AA20" s="12">
        <v>1200</v>
      </c>
      <c r="AB20" s="13">
        <v>1200</v>
      </c>
      <c r="AC20" s="13">
        <f>SUM(AA20-AB20)</f>
        <v>0</v>
      </c>
      <c r="AD20" s="12">
        <v>1200</v>
      </c>
      <c r="AE20" s="13">
        <v>1200</v>
      </c>
      <c r="AF20" s="13">
        <f>SUM(AD20-AE20)</f>
        <v>0</v>
      </c>
      <c r="AG20" s="12">
        <v>1200</v>
      </c>
      <c r="AH20" s="13">
        <v>1200</v>
      </c>
      <c r="AI20" s="13">
        <f>SUM(AG20-AH20)</f>
        <v>0</v>
      </c>
      <c r="AJ20" s="12">
        <v>1200</v>
      </c>
      <c r="AK20" s="13">
        <v>1200</v>
      </c>
      <c r="AL20" s="13">
        <f>SUM(AJ20-AK20)</f>
        <v>0</v>
      </c>
      <c r="AM20" s="38">
        <f t="shared" si="42"/>
        <v>14000</v>
      </c>
      <c r="AN20" s="13">
        <f t="shared" si="42"/>
        <v>14250.84</v>
      </c>
      <c r="AO20" s="13">
        <f t="shared" si="42"/>
        <v>-250.84000000000003</v>
      </c>
      <c r="AP20" s="11"/>
    </row>
    <row r="21" spans="1:43" x14ac:dyDescent="0.25">
      <c r="A21" t="s">
        <v>167</v>
      </c>
      <c r="B21" s="4" t="s">
        <v>168</v>
      </c>
      <c r="C21" s="12">
        <v>300</v>
      </c>
      <c r="D21" s="13"/>
      <c r="E21" s="13">
        <f t="shared" ref="E21:E24" si="43">SUM(C21-D21)</f>
        <v>300</v>
      </c>
      <c r="F21" s="12"/>
      <c r="G21" s="13"/>
      <c r="H21" s="13">
        <f t="shared" si="41"/>
        <v>0</v>
      </c>
      <c r="I21" s="12"/>
      <c r="J21" s="13"/>
      <c r="K21" s="13"/>
      <c r="L21" s="12"/>
      <c r="M21" s="13"/>
      <c r="N21" s="13"/>
      <c r="O21" s="12"/>
      <c r="P21" s="13"/>
      <c r="Q21" s="13"/>
      <c r="R21" s="12"/>
      <c r="S21" s="13"/>
      <c r="T21" s="13"/>
      <c r="U21" s="12"/>
      <c r="V21" s="13"/>
      <c r="W21" s="13"/>
      <c r="X21" s="12"/>
      <c r="Y21" s="13"/>
      <c r="Z21" s="13"/>
      <c r="AA21" s="12"/>
      <c r="AB21" s="13"/>
      <c r="AC21" s="13"/>
      <c r="AD21" s="12"/>
      <c r="AE21" s="13"/>
      <c r="AF21" s="13"/>
      <c r="AG21" s="12"/>
      <c r="AH21" s="13"/>
      <c r="AI21" s="13"/>
      <c r="AJ21" s="12"/>
      <c r="AK21" s="13"/>
      <c r="AL21" s="13"/>
      <c r="AM21" s="12">
        <f t="shared" si="42"/>
        <v>300</v>
      </c>
      <c r="AN21" s="13">
        <f t="shared" si="42"/>
        <v>0</v>
      </c>
      <c r="AO21" s="13">
        <f t="shared" si="42"/>
        <v>300</v>
      </c>
      <c r="AP21" s="11"/>
    </row>
    <row r="22" spans="1:43" x14ac:dyDescent="0.25">
      <c r="B22" s="4"/>
      <c r="C22" s="12"/>
      <c r="D22" s="13"/>
      <c r="E22" s="13">
        <f t="shared" si="43"/>
        <v>0</v>
      </c>
      <c r="F22" s="12"/>
      <c r="G22" s="13"/>
      <c r="H22" s="13">
        <f t="shared" si="41"/>
        <v>0</v>
      </c>
      <c r="I22" s="12"/>
      <c r="J22" s="13"/>
      <c r="K22" s="13"/>
      <c r="L22" s="12"/>
      <c r="M22" s="13"/>
      <c r="N22" s="13"/>
      <c r="O22" s="12"/>
      <c r="P22" s="13"/>
      <c r="Q22" s="13"/>
      <c r="R22" s="12"/>
      <c r="S22" s="13"/>
      <c r="T22" s="13"/>
      <c r="U22" s="12"/>
      <c r="V22" s="13"/>
      <c r="W22" s="13"/>
      <c r="X22" s="12"/>
      <c r="Y22" s="13"/>
      <c r="Z22" s="13"/>
      <c r="AA22" s="12"/>
      <c r="AB22" s="13"/>
      <c r="AC22" s="13"/>
      <c r="AD22" s="12"/>
      <c r="AE22" s="13"/>
      <c r="AF22" s="13"/>
      <c r="AG22" s="12"/>
      <c r="AH22" s="13"/>
      <c r="AI22" s="13"/>
      <c r="AJ22" s="12"/>
      <c r="AK22" s="13"/>
      <c r="AL22" s="13"/>
      <c r="AM22" s="12">
        <f t="shared" si="42"/>
        <v>0</v>
      </c>
      <c r="AN22" s="13">
        <f t="shared" si="42"/>
        <v>0</v>
      </c>
      <c r="AO22" s="13">
        <f t="shared" si="42"/>
        <v>0</v>
      </c>
      <c r="AP22" s="11"/>
    </row>
    <row r="23" spans="1:43" x14ac:dyDescent="0.25">
      <c r="B23" s="4"/>
      <c r="C23" s="12"/>
      <c r="D23" s="13"/>
      <c r="E23" s="13">
        <f t="shared" si="43"/>
        <v>0</v>
      </c>
      <c r="F23" s="12"/>
      <c r="G23" s="13"/>
      <c r="H23" s="13">
        <f t="shared" si="41"/>
        <v>0</v>
      </c>
      <c r="I23" s="12"/>
      <c r="J23" s="13"/>
      <c r="K23" s="13"/>
      <c r="L23" s="12"/>
      <c r="M23" s="13"/>
      <c r="N23" s="13"/>
      <c r="O23" s="12"/>
      <c r="P23" s="13"/>
      <c r="Q23" s="13"/>
      <c r="R23" s="12"/>
      <c r="S23" s="13"/>
      <c r="T23" s="13"/>
      <c r="U23" s="12"/>
      <c r="V23" s="13"/>
      <c r="W23" s="13"/>
      <c r="X23" s="12"/>
      <c r="Y23" s="13"/>
      <c r="Z23" s="13"/>
      <c r="AA23" s="12"/>
      <c r="AB23" s="13"/>
      <c r="AC23" s="13"/>
      <c r="AD23" s="12"/>
      <c r="AE23" s="13"/>
      <c r="AF23" s="13"/>
      <c r="AG23" s="12"/>
      <c r="AH23" s="13"/>
      <c r="AI23" s="13"/>
      <c r="AJ23" s="12"/>
      <c r="AK23" s="13"/>
      <c r="AL23" s="13"/>
      <c r="AM23" s="12">
        <f t="shared" si="42"/>
        <v>0</v>
      </c>
      <c r="AN23" s="13">
        <f t="shared" si="42"/>
        <v>0</v>
      </c>
      <c r="AO23" s="13">
        <f t="shared" si="42"/>
        <v>0</v>
      </c>
      <c r="AP23" s="11"/>
    </row>
    <row r="24" spans="1:43" x14ac:dyDescent="0.25">
      <c r="B24" s="4"/>
      <c r="C24" s="12"/>
      <c r="D24" s="13"/>
      <c r="E24" s="13">
        <f t="shared" si="43"/>
        <v>0</v>
      </c>
      <c r="F24" s="12"/>
      <c r="G24" s="13"/>
      <c r="H24" s="13">
        <f t="shared" si="41"/>
        <v>0</v>
      </c>
      <c r="I24" s="12"/>
      <c r="J24" s="13"/>
      <c r="K24" s="13"/>
      <c r="L24" s="12"/>
      <c r="M24" s="13"/>
      <c r="N24" s="13"/>
      <c r="O24" s="12"/>
      <c r="P24" s="13"/>
      <c r="Q24" s="13"/>
      <c r="R24" s="12"/>
      <c r="S24" s="13"/>
      <c r="T24" s="13"/>
      <c r="U24" s="12"/>
      <c r="V24" s="13"/>
      <c r="W24" s="13"/>
      <c r="X24" s="12"/>
      <c r="Y24" s="13"/>
      <c r="Z24" s="13"/>
      <c r="AA24" s="12"/>
      <c r="AB24" s="13"/>
      <c r="AC24" s="13"/>
      <c r="AD24" s="12"/>
      <c r="AE24" s="13"/>
      <c r="AF24" s="13"/>
      <c r="AG24" s="12"/>
      <c r="AH24" s="13"/>
      <c r="AI24" s="13"/>
      <c r="AJ24" s="12"/>
      <c r="AK24" s="13"/>
      <c r="AL24" s="13"/>
      <c r="AM24" s="12">
        <f t="shared" si="42"/>
        <v>0</v>
      </c>
      <c r="AN24" s="13">
        <f t="shared" si="42"/>
        <v>0</v>
      </c>
      <c r="AO24" s="13">
        <f t="shared" si="42"/>
        <v>0</v>
      </c>
      <c r="AP24" s="11"/>
    </row>
    <row r="25" spans="1:43" x14ac:dyDescent="0.25">
      <c r="B25" s="1" t="s">
        <v>169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3" x14ac:dyDescent="0.25">
      <c r="B26" s="4" t="s">
        <v>16</v>
      </c>
      <c r="C26" s="12">
        <v>106.25</v>
      </c>
      <c r="D26" s="13"/>
      <c r="E26" s="13">
        <f>SUM(C26-D26)</f>
        <v>106.25</v>
      </c>
      <c r="F26" s="12"/>
      <c r="G26" s="13"/>
      <c r="H26" s="13">
        <f>SUM(F26-G26)</f>
        <v>0</v>
      </c>
      <c r="I26" s="12"/>
      <c r="J26" s="13"/>
      <c r="K26" s="13">
        <f>SUM(I26-J26)</f>
        <v>0</v>
      </c>
      <c r="L26" s="12">
        <v>106.25</v>
      </c>
      <c r="M26" s="13"/>
      <c r="N26" s="13">
        <f>SUM(L26-M26)</f>
        <v>106.25</v>
      </c>
      <c r="O26" s="12"/>
      <c r="P26" s="13"/>
      <c r="Q26" s="13">
        <f>SUM(O26-P26)</f>
        <v>0</v>
      </c>
      <c r="R26" s="12"/>
      <c r="S26" s="13"/>
      <c r="T26" s="13">
        <f>SUM(R26-S26)</f>
        <v>0</v>
      </c>
      <c r="U26" s="12">
        <v>106.25</v>
      </c>
      <c r="V26" s="13"/>
      <c r="W26" s="13">
        <f>SUM(U26-V26)</f>
        <v>106.25</v>
      </c>
      <c r="X26" s="12"/>
      <c r="Y26" s="13"/>
      <c r="Z26" s="13">
        <f>SUM(X26-Y26)</f>
        <v>0</v>
      </c>
      <c r="AA26" s="12"/>
      <c r="AB26" s="13"/>
      <c r="AC26" s="13">
        <f t="shared" ref="AC26:AC31" si="44">SUM(AA26-AB26)</f>
        <v>0</v>
      </c>
      <c r="AD26" s="12"/>
      <c r="AE26" s="13"/>
      <c r="AF26" s="13">
        <f t="shared" ref="AF26:AF47" si="45">SUM(AD26-AE26)</f>
        <v>0</v>
      </c>
      <c r="AG26" s="12">
        <v>106.25</v>
      </c>
      <c r="AH26" s="13"/>
      <c r="AI26" s="13">
        <f>SUM(AG26-AH26)</f>
        <v>106.25</v>
      </c>
      <c r="AJ26" s="12"/>
      <c r="AK26" s="13"/>
      <c r="AL26" s="13">
        <f t="shared" ref="AL26:AL32" si="46">SUM(AJ26-AK26)</f>
        <v>0</v>
      </c>
      <c r="AM26" s="12">
        <f t="shared" ref="AM26:AM55" si="47">C26+F26+I26+L26+O26+R26+U26+X26+AA26+AD26+AG26+AJ26</f>
        <v>425</v>
      </c>
      <c r="AN26" s="13">
        <f t="shared" ref="AN26:AN55" si="48">D26+G26+J26+M26+P26+S26+V26+Y26+AB26+AE26+AH26+AK26</f>
        <v>0</v>
      </c>
      <c r="AO26" s="13">
        <f t="shared" ref="AO26:AO55" si="49">E26+H26+K26+N26+Q26+T26+W26+Z26+AC26+AF26+AI26+AL26</f>
        <v>425</v>
      </c>
      <c r="AP26" s="11"/>
    </row>
    <row r="27" spans="1:43" x14ac:dyDescent="0.25">
      <c r="B27" s="4" t="s">
        <v>17</v>
      </c>
      <c r="C27" s="12">
        <v>1250</v>
      </c>
      <c r="D27" s="13">
        <v>1105.19</v>
      </c>
      <c r="E27" s="13">
        <f>SUM(C27-D27)</f>
        <v>144.80999999999995</v>
      </c>
      <c r="F27" s="12">
        <v>1250</v>
      </c>
      <c r="G27" s="13">
        <v>1123.2</v>
      </c>
      <c r="H27" s="13">
        <f>SUM(F27-G27)</f>
        <v>126.79999999999995</v>
      </c>
      <c r="I27" s="12">
        <v>1250</v>
      </c>
      <c r="J27" s="13">
        <v>1124.32</v>
      </c>
      <c r="K27" s="13">
        <f>SUM(I27-J27)</f>
        <v>125.68000000000006</v>
      </c>
      <c r="L27" s="12">
        <v>1250</v>
      </c>
      <c r="M27" s="13">
        <v>1119.6199999999999</v>
      </c>
      <c r="N27" s="13">
        <f>SUM(L27-M27)</f>
        <v>130.38000000000011</v>
      </c>
      <c r="O27" s="12">
        <v>1250</v>
      </c>
      <c r="P27" s="13">
        <v>1118.92</v>
      </c>
      <c r="Q27" s="13">
        <f>SUM(O27-P27)</f>
        <v>131.07999999999993</v>
      </c>
      <c r="R27" s="12">
        <v>1250</v>
      </c>
      <c r="S27" s="13">
        <v>1174.47</v>
      </c>
      <c r="T27" s="13">
        <f>SUM(R27-S27)</f>
        <v>75.529999999999973</v>
      </c>
      <c r="U27" s="12">
        <v>1250</v>
      </c>
      <c r="V27" s="13">
        <v>1115.77</v>
      </c>
      <c r="W27" s="13">
        <f>SUM(U27-V27)</f>
        <v>134.23000000000002</v>
      </c>
      <c r="X27" s="12">
        <v>1250</v>
      </c>
      <c r="Y27" s="13">
        <v>1120.52</v>
      </c>
      <c r="Z27" s="13">
        <f>SUM(X27-Y27)</f>
        <v>129.48000000000002</v>
      </c>
      <c r="AA27" s="12">
        <v>1250</v>
      </c>
      <c r="AB27" s="13">
        <v>1177.1400000000001</v>
      </c>
      <c r="AC27" s="13">
        <f t="shared" si="44"/>
        <v>72.8599999999999</v>
      </c>
      <c r="AD27" s="12">
        <v>1250</v>
      </c>
      <c r="AE27" s="13">
        <v>1110.6199999999999</v>
      </c>
      <c r="AF27" s="13">
        <f t="shared" si="45"/>
        <v>139.38000000000011</v>
      </c>
      <c r="AG27" s="12">
        <v>1250</v>
      </c>
      <c r="AH27" s="13">
        <v>1116.22</v>
      </c>
      <c r="AI27" s="13">
        <f>SUM(AG27-AH27)</f>
        <v>133.77999999999997</v>
      </c>
      <c r="AJ27" s="12">
        <v>1250</v>
      </c>
      <c r="AK27" s="13">
        <v>1263.99</v>
      </c>
      <c r="AL27" s="13">
        <f t="shared" si="46"/>
        <v>-13.990000000000009</v>
      </c>
      <c r="AM27" s="12">
        <f t="shared" si="47"/>
        <v>15000</v>
      </c>
      <c r="AN27" s="13">
        <f t="shared" si="48"/>
        <v>13669.98</v>
      </c>
      <c r="AO27" s="13">
        <f t="shared" si="49"/>
        <v>1330.02</v>
      </c>
      <c r="AP27" s="11"/>
    </row>
    <row r="28" spans="1:43" x14ac:dyDescent="0.25">
      <c r="B28" s="4" t="s">
        <v>18</v>
      </c>
      <c r="C28" s="12">
        <v>260</v>
      </c>
      <c r="D28" s="13">
        <v>165.45</v>
      </c>
      <c r="E28" s="13">
        <f>SUM(C28-D28)</f>
        <v>94.550000000000011</v>
      </c>
      <c r="F28" s="12">
        <v>260</v>
      </c>
      <c r="G28" s="13">
        <v>187.83</v>
      </c>
      <c r="H28" s="13">
        <f>SUM(F28-G28)</f>
        <v>72.169999999999987</v>
      </c>
      <c r="I28" s="12">
        <v>260</v>
      </c>
      <c r="J28" s="13">
        <v>176.64</v>
      </c>
      <c r="K28" s="13">
        <f>SUM(I28-J28)</f>
        <v>83.360000000000014</v>
      </c>
      <c r="L28" s="12">
        <v>260</v>
      </c>
      <c r="M28" s="13">
        <v>176.84</v>
      </c>
      <c r="N28" s="13">
        <f>SUM(L28-M28)</f>
        <v>83.16</v>
      </c>
      <c r="O28" s="12">
        <v>260</v>
      </c>
      <c r="P28" s="13">
        <v>176.64</v>
      </c>
      <c r="Q28" s="13">
        <f>SUM(O28-P28)</f>
        <v>83.360000000000014</v>
      </c>
      <c r="R28" s="12">
        <v>260</v>
      </c>
      <c r="S28" s="13">
        <v>217.14</v>
      </c>
      <c r="T28" s="13">
        <f>SUM(R28-S28)</f>
        <v>42.860000000000014</v>
      </c>
      <c r="U28" s="12">
        <v>260</v>
      </c>
      <c r="V28" s="13">
        <v>176.64</v>
      </c>
      <c r="W28" s="13">
        <f>SUM(U28-V28)</f>
        <v>83.360000000000014</v>
      </c>
      <c r="X28" s="12">
        <v>260</v>
      </c>
      <c r="Y28" s="13">
        <v>176.84</v>
      </c>
      <c r="Z28" s="13">
        <f>SUM(X28-Y28)</f>
        <v>83.16</v>
      </c>
      <c r="AA28" s="12">
        <v>260</v>
      </c>
      <c r="AB28" s="13">
        <v>216.94</v>
      </c>
      <c r="AC28" s="13">
        <f t="shared" si="44"/>
        <v>43.06</v>
      </c>
      <c r="AD28" s="12">
        <v>260</v>
      </c>
      <c r="AE28" s="13">
        <v>176.84</v>
      </c>
      <c r="AF28" s="13">
        <f t="shared" si="45"/>
        <v>83.16</v>
      </c>
      <c r="AG28" s="12">
        <v>260</v>
      </c>
      <c r="AH28" s="13">
        <v>176.64</v>
      </c>
      <c r="AI28" s="13">
        <f>SUM(AG28-AH28)</f>
        <v>83.360000000000014</v>
      </c>
      <c r="AJ28" s="12">
        <v>340</v>
      </c>
      <c r="AK28" s="13">
        <v>270.27</v>
      </c>
      <c r="AL28" s="13">
        <f t="shared" si="46"/>
        <v>69.730000000000018</v>
      </c>
      <c r="AM28" s="12">
        <f t="shared" si="47"/>
        <v>3200</v>
      </c>
      <c r="AN28" s="13">
        <f t="shared" si="48"/>
        <v>2294.7099999999996</v>
      </c>
      <c r="AO28" s="13">
        <f t="shared" si="49"/>
        <v>905.29</v>
      </c>
      <c r="AP28" s="11"/>
      <c r="AQ28" s="11"/>
    </row>
    <row r="29" spans="1:43" x14ac:dyDescent="0.25">
      <c r="B29" s="4" t="s">
        <v>54</v>
      </c>
      <c r="C29" s="12">
        <v>25</v>
      </c>
      <c r="D29" s="13">
        <v>36.97</v>
      </c>
      <c r="E29" s="13">
        <f>SUM(C29-D29)</f>
        <v>-11.969999999999999</v>
      </c>
      <c r="F29" s="12">
        <v>25</v>
      </c>
      <c r="G29" s="13">
        <v>39.659999999999997</v>
      </c>
      <c r="H29" s="13">
        <f>SUM(F29-G29)</f>
        <v>-14.659999999999997</v>
      </c>
      <c r="I29" s="12">
        <v>25</v>
      </c>
      <c r="J29" s="13">
        <v>38.32</v>
      </c>
      <c r="K29" s="13">
        <f>SUM(I29-J29)</f>
        <v>-13.32</v>
      </c>
      <c r="L29" s="12">
        <v>25</v>
      </c>
      <c r="M29" s="13">
        <v>38.32</v>
      </c>
      <c r="N29" s="13">
        <f>SUM(L29-M29)</f>
        <v>-13.32</v>
      </c>
      <c r="O29" s="12">
        <v>25</v>
      </c>
      <c r="P29" s="13">
        <v>38.32</v>
      </c>
      <c r="Q29" s="13">
        <f>SUM(O29-P29)</f>
        <v>-13.32</v>
      </c>
      <c r="R29" s="12">
        <v>25</v>
      </c>
      <c r="S29" s="13">
        <v>43.09</v>
      </c>
      <c r="T29" s="13">
        <f>SUM(R29-S29)</f>
        <v>-18.090000000000003</v>
      </c>
      <c r="U29" s="12">
        <v>25</v>
      </c>
      <c r="V29" s="13">
        <v>38.32</v>
      </c>
      <c r="W29" s="13">
        <f>SUM(U29-V29)</f>
        <v>-13.32</v>
      </c>
      <c r="X29" s="12">
        <v>25</v>
      </c>
      <c r="Y29" s="13">
        <v>38.32</v>
      </c>
      <c r="Z29" s="13">
        <f>SUM(X29-Y29)</f>
        <v>-13.32</v>
      </c>
      <c r="AA29" s="12">
        <v>25</v>
      </c>
      <c r="AB29" s="13">
        <v>43.09</v>
      </c>
      <c r="AC29" s="13">
        <f t="shared" si="44"/>
        <v>-18.090000000000003</v>
      </c>
      <c r="AD29" s="12">
        <v>25</v>
      </c>
      <c r="AE29" s="13">
        <v>38.32</v>
      </c>
      <c r="AF29" s="13">
        <f>SUM(AD29-AE29)</f>
        <v>-13.32</v>
      </c>
      <c r="AG29" s="12">
        <v>25</v>
      </c>
      <c r="AH29" s="13">
        <v>38.32</v>
      </c>
      <c r="AI29" s="13">
        <f>SUM(AG29-AH29)</f>
        <v>-13.32</v>
      </c>
      <c r="AJ29" s="12">
        <v>25</v>
      </c>
      <c r="AK29" s="13">
        <v>49.34</v>
      </c>
      <c r="AL29" s="13">
        <f t="shared" si="46"/>
        <v>-24.340000000000003</v>
      </c>
      <c r="AM29" s="12">
        <f t="shared" si="47"/>
        <v>300</v>
      </c>
      <c r="AN29" s="13">
        <f t="shared" si="48"/>
        <v>480.39</v>
      </c>
      <c r="AO29" s="13">
        <f t="shared" si="49"/>
        <v>-180.39</v>
      </c>
      <c r="AP29" s="11"/>
    </row>
    <row r="30" spans="1:43" x14ac:dyDescent="0.25">
      <c r="B30" s="4" t="s">
        <v>179</v>
      </c>
      <c r="C30" s="12"/>
      <c r="D30" s="13">
        <v>92.93</v>
      </c>
      <c r="E30" s="13">
        <f t="shared" ref="E30:E32" si="50">SUM(C30-D30)</f>
        <v>-92.93</v>
      </c>
      <c r="F30" s="12"/>
      <c r="G30" s="13">
        <v>92.93</v>
      </c>
      <c r="H30" s="13">
        <f t="shared" ref="H30:H32" si="51">SUM(F30-G30)</f>
        <v>-92.93</v>
      </c>
      <c r="I30" s="12"/>
      <c r="J30" s="13">
        <v>92.93</v>
      </c>
      <c r="K30" s="13">
        <f t="shared" ref="K30:K32" si="52">SUM(I30-J30)</f>
        <v>-92.93</v>
      </c>
      <c r="L30" s="12"/>
      <c r="M30" s="13">
        <v>92.93</v>
      </c>
      <c r="N30" s="13">
        <f>SUM(L30-M30)</f>
        <v>-92.93</v>
      </c>
      <c r="O30" s="12"/>
      <c r="P30" s="13">
        <v>92.93</v>
      </c>
      <c r="Q30" s="13">
        <f>SUM(O30-P30)</f>
        <v>-92.93</v>
      </c>
      <c r="R30" s="12"/>
      <c r="S30" s="13"/>
      <c r="T30" s="13">
        <f t="shared" ref="T30:T32" si="53">SUM(R30-S30)</f>
        <v>0</v>
      </c>
      <c r="U30" s="12"/>
      <c r="V30" s="13">
        <v>92.93</v>
      </c>
      <c r="W30" s="13">
        <f>SUM(U30-V30)</f>
        <v>-92.93</v>
      </c>
      <c r="X30" s="12"/>
      <c r="Y30" s="13">
        <v>92.93</v>
      </c>
      <c r="Z30" s="13">
        <f>SUM(X30-Y30)</f>
        <v>-92.93</v>
      </c>
      <c r="AA30" s="12"/>
      <c r="AB30" s="13"/>
      <c r="AC30" s="13">
        <f t="shared" si="44"/>
        <v>0</v>
      </c>
      <c r="AD30" s="12"/>
      <c r="AE30" s="13">
        <v>92.93</v>
      </c>
      <c r="AF30" s="13">
        <f t="shared" si="45"/>
        <v>-92.93</v>
      </c>
      <c r="AG30" s="12"/>
      <c r="AH30" s="13">
        <v>92.93</v>
      </c>
      <c r="AI30" s="13">
        <f>SUM(AG30-AH30)</f>
        <v>-92.93</v>
      </c>
      <c r="AJ30" s="12"/>
      <c r="AK30" s="13">
        <v>92.93</v>
      </c>
      <c r="AL30" s="13">
        <f t="shared" si="46"/>
        <v>-92.93</v>
      </c>
      <c r="AM30" s="12">
        <f t="shared" si="47"/>
        <v>0</v>
      </c>
      <c r="AN30" s="13">
        <f t="shared" si="48"/>
        <v>929.30000000000018</v>
      </c>
      <c r="AO30" s="13">
        <f t="shared" si="49"/>
        <v>-929.30000000000018</v>
      </c>
      <c r="AP30" s="11"/>
    </row>
    <row r="31" spans="1:43" x14ac:dyDescent="0.25">
      <c r="B31" s="4" t="s">
        <v>180</v>
      </c>
      <c r="C31" s="12"/>
      <c r="D31" s="13"/>
      <c r="E31" s="13">
        <f t="shared" si="50"/>
        <v>0</v>
      </c>
      <c r="F31" s="12"/>
      <c r="G31" s="13"/>
      <c r="H31" s="13"/>
      <c r="I31" s="12">
        <v>50</v>
      </c>
      <c r="J31" s="13"/>
      <c r="K31" s="13">
        <f t="shared" si="52"/>
        <v>50</v>
      </c>
      <c r="L31" s="12"/>
      <c r="M31" s="13"/>
      <c r="N31" s="13"/>
      <c r="O31" s="12"/>
      <c r="P31" s="13"/>
      <c r="Q31" s="13"/>
      <c r="R31" s="12">
        <v>50</v>
      </c>
      <c r="S31" s="13"/>
      <c r="T31" s="13">
        <f t="shared" si="53"/>
        <v>50</v>
      </c>
      <c r="U31" s="12"/>
      <c r="V31" s="13"/>
      <c r="W31" s="13"/>
      <c r="X31" s="12"/>
      <c r="Y31" s="13"/>
      <c r="Z31" s="13"/>
      <c r="AA31" s="12">
        <v>50</v>
      </c>
      <c r="AB31" s="13"/>
      <c r="AC31" s="13">
        <f t="shared" si="44"/>
        <v>50</v>
      </c>
      <c r="AD31" s="12"/>
      <c r="AE31" s="13"/>
      <c r="AF31" s="13"/>
      <c r="AG31" s="12"/>
      <c r="AH31" s="13"/>
      <c r="AI31" s="13"/>
      <c r="AJ31" s="12">
        <v>50</v>
      </c>
      <c r="AK31" s="13"/>
      <c r="AL31" s="13">
        <f t="shared" si="46"/>
        <v>50</v>
      </c>
      <c r="AM31" s="12">
        <f t="shared" si="47"/>
        <v>200</v>
      </c>
      <c r="AN31" s="13">
        <f t="shared" si="48"/>
        <v>0</v>
      </c>
      <c r="AO31" s="13">
        <f t="shared" si="49"/>
        <v>200</v>
      </c>
      <c r="AP31" s="11"/>
    </row>
    <row r="32" spans="1:43" x14ac:dyDescent="0.25">
      <c r="B32" s="4" t="s">
        <v>36</v>
      </c>
      <c r="C32" s="12"/>
      <c r="D32" s="13"/>
      <c r="E32" s="13">
        <f t="shared" si="50"/>
        <v>0</v>
      </c>
      <c r="F32" s="12"/>
      <c r="G32" s="13"/>
      <c r="H32" s="13">
        <f t="shared" si="51"/>
        <v>0</v>
      </c>
      <c r="I32" s="12">
        <v>75</v>
      </c>
      <c r="J32" s="13">
        <v>30</v>
      </c>
      <c r="K32" s="13">
        <f t="shared" si="52"/>
        <v>45</v>
      </c>
      <c r="L32" s="12"/>
      <c r="M32" s="13"/>
      <c r="N32" s="13">
        <f t="shared" ref="N32:N33" si="54">SUM(L32-M32)</f>
        <v>0</v>
      </c>
      <c r="O32" s="12"/>
      <c r="P32" s="13"/>
      <c r="Q32" s="13">
        <f t="shared" ref="Q32:Q33" si="55">SUM(O32-P32)</f>
        <v>0</v>
      </c>
      <c r="R32" s="12">
        <v>75</v>
      </c>
      <c r="S32" s="13">
        <v>30</v>
      </c>
      <c r="T32" s="13">
        <f t="shared" si="53"/>
        <v>45</v>
      </c>
      <c r="U32" s="12"/>
      <c r="V32" s="13"/>
      <c r="W32" s="13">
        <f t="shared" ref="W32:W33" si="56">SUM(U32-V32)</f>
        <v>0</v>
      </c>
      <c r="X32" s="12"/>
      <c r="Y32" s="13"/>
      <c r="Z32" s="13">
        <f t="shared" ref="Z32:Z33" si="57">SUM(X32-Y32)</f>
        <v>0</v>
      </c>
      <c r="AA32" s="12">
        <v>75</v>
      </c>
      <c r="AB32" s="13">
        <v>30</v>
      </c>
      <c r="AC32" s="13">
        <f t="shared" ref="AC32:AC33" si="58">SUM(AA32-AB32)</f>
        <v>45</v>
      </c>
      <c r="AD32" s="12"/>
      <c r="AE32" s="13"/>
      <c r="AF32" s="13">
        <f t="shared" si="45"/>
        <v>0</v>
      </c>
      <c r="AG32" s="12"/>
      <c r="AH32" s="13"/>
      <c r="AI32" s="13">
        <f t="shared" ref="AI32:AI33" si="59">SUM(AG32-AH32)</f>
        <v>0</v>
      </c>
      <c r="AJ32" s="12">
        <v>75</v>
      </c>
      <c r="AK32" s="13">
        <v>30</v>
      </c>
      <c r="AL32" s="13">
        <f t="shared" si="46"/>
        <v>45</v>
      </c>
      <c r="AM32" s="12">
        <f t="shared" si="47"/>
        <v>300</v>
      </c>
      <c r="AN32" s="13">
        <f t="shared" si="48"/>
        <v>120</v>
      </c>
      <c r="AO32" s="13">
        <f t="shared" si="49"/>
        <v>180</v>
      </c>
      <c r="AP32" s="11"/>
    </row>
    <row r="33" spans="1:42" x14ac:dyDescent="0.25">
      <c r="B33" s="4" t="s">
        <v>19</v>
      </c>
      <c r="C33" s="12">
        <v>75</v>
      </c>
      <c r="D33" s="13">
        <v>90</v>
      </c>
      <c r="E33" s="13">
        <f t="shared" ref="E33:E47" si="60">SUM(C33-D33)</f>
        <v>-15</v>
      </c>
      <c r="F33" s="12"/>
      <c r="G33" s="13"/>
      <c r="H33" s="13">
        <f t="shared" ref="H33" si="61">SUM(F33-G33)</f>
        <v>0</v>
      </c>
      <c r="I33" s="12"/>
      <c r="J33" s="13"/>
      <c r="K33" s="13">
        <f t="shared" ref="K33:K47" si="62">SUM(I33-J33)</f>
        <v>0</v>
      </c>
      <c r="L33" s="12">
        <v>75</v>
      </c>
      <c r="M33" s="13"/>
      <c r="N33" s="13">
        <f t="shared" si="54"/>
        <v>75</v>
      </c>
      <c r="O33" s="12"/>
      <c r="P33" s="13"/>
      <c r="Q33" s="13">
        <f t="shared" si="55"/>
        <v>0</v>
      </c>
      <c r="R33" s="12"/>
      <c r="S33" s="13">
        <v>90</v>
      </c>
      <c r="T33" s="13">
        <f t="shared" ref="T33" si="63">SUM(R33-S33)</f>
        <v>-90</v>
      </c>
      <c r="U33" s="12">
        <v>75</v>
      </c>
      <c r="V33" s="13"/>
      <c r="W33" s="13">
        <f t="shared" si="56"/>
        <v>75</v>
      </c>
      <c r="X33" s="12"/>
      <c r="Y33" s="13"/>
      <c r="Z33" s="13">
        <f t="shared" si="57"/>
        <v>0</v>
      </c>
      <c r="AA33" s="12"/>
      <c r="AB33" s="13"/>
      <c r="AC33" s="13">
        <f t="shared" si="58"/>
        <v>0</v>
      </c>
      <c r="AD33" s="12">
        <v>75</v>
      </c>
      <c r="AE33" s="13"/>
      <c r="AF33" s="13">
        <f t="shared" si="45"/>
        <v>75</v>
      </c>
      <c r="AG33" s="12"/>
      <c r="AH33" s="13"/>
      <c r="AI33" s="13">
        <f t="shared" si="59"/>
        <v>0</v>
      </c>
      <c r="AJ33" s="12"/>
      <c r="AK33" s="13">
        <v>90</v>
      </c>
      <c r="AL33" s="13">
        <f t="shared" ref="AL33" si="64">SUM(AJ33-AK33)</f>
        <v>-90</v>
      </c>
      <c r="AM33" s="12">
        <f t="shared" si="47"/>
        <v>300</v>
      </c>
      <c r="AN33" s="13">
        <f t="shared" si="48"/>
        <v>270</v>
      </c>
      <c r="AO33" s="13">
        <f t="shared" si="49"/>
        <v>30</v>
      </c>
      <c r="AP33" s="11"/>
    </row>
    <row r="34" spans="1:42" x14ac:dyDescent="0.25">
      <c r="B34" s="4" t="s">
        <v>1</v>
      </c>
      <c r="C34" s="12"/>
      <c r="D34" s="13"/>
      <c r="E34" s="13">
        <f t="shared" si="60"/>
        <v>0</v>
      </c>
      <c r="F34" s="12">
        <v>900</v>
      </c>
      <c r="G34" s="13">
        <v>682.06</v>
      </c>
      <c r="H34" s="13">
        <f t="shared" ref="H34:H47" si="65">SUM(F34-G34)</f>
        <v>217.94000000000005</v>
      </c>
      <c r="I34" s="12"/>
      <c r="J34" s="13"/>
      <c r="K34" s="13">
        <f t="shared" si="62"/>
        <v>0</v>
      </c>
      <c r="L34" s="12"/>
      <c r="M34" s="13"/>
      <c r="N34" s="13">
        <f t="shared" ref="N34:N47" si="66">SUM(L34-M34)</f>
        <v>0</v>
      </c>
      <c r="O34" s="12"/>
      <c r="P34" s="13"/>
      <c r="Q34" s="13">
        <f t="shared" ref="Q34:Q47" si="67">SUM(O34-P34)</f>
        <v>0</v>
      </c>
      <c r="R34" s="12"/>
      <c r="S34" s="13"/>
      <c r="T34" s="13">
        <f t="shared" ref="T34:T47" si="68">SUM(R34-S34)</f>
        <v>0</v>
      </c>
      <c r="U34" s="12"/>
      <c r="V34" s="13"/>
      <c r="W34" s="13">
        <f t="shared" ref="W34:W47" si="69">SUM(U34-V34)</f>
        <v>0</v>
      </c>
      <c r="X34" s="12"/>
      <c r="Y34" s="13"/>
      <c r="Z34" s="13">
        <f t="shared" ref="Z34:Z47" si="70">SUM(X34-Y34)</f>
        <v>0</v>
      </c>
      <c r="AA34" s="12"/>
      <c r="AB34" s="13"/>
      <c r="AC34" s="13">
        <f t="shared" ref="AC34:AC47" si="71">SUM(AA34-AB34)</f>
        <v>0</v>
      </c>
      <c r="AD34" s="12"/>
      <c r="AE34" s="13"/>
      <c r="AF34" s="13">
        <f t="shared" si="45"/>
        <v>0</v>
      </c>
      <c r="AG34" s="12"/>
      <c r="AH34" s="13"/>
      <c r="AI34" s="13">
        <f t="shared" ref="AI34:AI47" si="72">SUM(AG34-AH34)</f>
        <v>0</v>
      </c>
      <c r="AJ34" s="12"/>
      <c r="AK34" s="13"/>
      <c r="AL34" s="13">
        <f t="shared" ref="AL34:AL47" si="73">SUM(AJ34-AK34)</f>
        <v>0</v>
      </c>
      <c r="AM34" s="12">
        <f t="shared" si="47"/>
        <v>900</v>
      </c>
      <c r="AN34" s="13">
        <f t="shared" si="48"/>
        <v>682.06</v>
      </c>
      <c r="AO34" s="13">
        <f t="shared" si="49"/>
        <v>217.94000000000005</v>
      </c>
      <c r="AP34" s="11"/>
    </row>
    <row r="35" spans="1:42" x14ac:dyDescent="0.25">
      <c r="B35" s="4" t="s">
        <v>58</v>
      </c>
      <c r="C35" s="12">
        <v>87.5</v>
      </c>
      <c r="D35" s="13">
        <v>317.77999999999997</v>
      </c>
      <c r="E35" s="13">
        <f t="shared" si="60"/>
        <v>-230.27999999999997</v>
      </c>
      <c r="F35" s="12"/>
      <c r="G35" s="13">
        <v>68.05</v>
      </c>
      <c r="H35" s="13">
        <f t="shared" si="65"/>
        <v>-68.05</v>
      </c>
      <c r="I35" s="12"/>
      <c r="J35" s="13"/>
      <c r="K35" s="13">
        <f t="shared" si="62"/>
        <v>0</v>
      </c>
      <c r="L35" s="12">
        <v>87.5</v>
      </c>
      <c r="M35" s="13">
        <v>52.77</v>
      </c>
      <c r="N35" s="13">
        <f t="shared" si="66"/>
        <v>34.729999999999997</v>
      </c>
      <c r="O35" s="12"/>
      <c r="P35" s="13">
        <v>62.99</v>
      </c>
      <c r="Q35" s="13">
        <f t="shared" si="67"/>
        <v>-62.99</v>
      </c>
      <c r="R35" s="12"/>
      <c r="S35" s="13">
        <v>-0.03</v>
      </c>
      <c r="T35" s="13">
        <f t="shared" si="68"/>
        <v>0.03</v>
      </c>
      <c r="U35" s="12">
        <v>87.5</v>
      </c>
      <c r="V35" s="13">
        <v>103.22</v>
      </c>
      <c r="W35" s="13">
        <f t="shared" si="69"/>
        <v>-15.719999999999999</v>
      </c>
      <c r="X35" s="12"/>
      <c r="Y35" s="13">
        <f>7.74+0.23+28.5</f>
        <v>36.47</v>
      </c>
      <c r="Z35" s="13">
        <f t="shared" si="70"/>
        <v>-36.47</v>
      </c>
      <c r="AA35" s="12"/>
      <c r="AB35" s="13">
        <f>65.99+4.72</f>
        <v>70.709999999999994</v>
      </c>
      <c r="AC35" s="13">
        <f t="shared" si="71"/>
        <v>-70.709999999999994</v>
      </c>
      <c r="AD35" s="12">
        <v>87.5</v>
      </c>
      <c r="AE35" s="13">
        <f>16.29+13.74</f>
        <v>30.03</v>
      </c>
      <c r="AF35" s="13">
        <f t="shared" si="45"/>
        <v>57.47</v>
      </c>
      <c r="AG35" s="12"/>
      <c r="AH35" s="13"/>
      <c r="AI35" s="13">
        <f t="shared" si="72"/>
        <v>0</v>
      </c>
      <c r="AJ35" s="12"/>
      <c r="AK35" s="13">
        <v>83.83</v>
      </c>
      <c r="AL35" s="13">
        <f t="shared" si="73"/>
        <v>-83.83</v>
      </c>
      <c r="AM35" s="12">
        <f t="shared" si="47"/>
        <v>350</v>
      </c>
      <c r="AN35" s="13">
        <f t="shared" si="48"/>
        <v>825.82</v>
      </c>
      <c r="AO35" s="13">
        <f t="shared" si="49"/>
        <v>-475.82</v>
      </c>
      <c r="AP35" s="11"/>
    </row>
    <row r="36" spans="1:42" x14ac:dyDescent="0.25">
      <c r="B36" s="4" t="s">
        <v>20</v>
      </c>
      <c r="C36" s="12">
        <v>83</v>
      </c>
      <c r="D36" s="13">
        <v>149.6</v>
      </c>
      <c r="E36" s="13">
        <f t="shared" si="60"/>
        <v>-66.599999999999994</v>
      </c>
      <c r="F36" s="12">
        <v>83</v>
      </c>
      <c r="G36" s="13">
        <v>49.8</v>
      </c>
      <c r="H36" s="13">
        <f t="shared" si="65"/>
        <v>33.200000000000003</v>
      </c>
      <c r="I36" s="12">
        <v>83</v>
      </c>
      <c r="J36" s="13">
        <v>39.299999999999997</v>
      </c>
      <c r="K36" s="13">
        <f t="shared" si="62"/>
        <v>43.7</v>
      </c>
      <c r="L36" s="12">
        <v>83</v>
      </c>
      <c r="M36" s="13">
        <v>76.7</v>
      </c>
      <c r="N36" s="13">
        <f t="shared" si="66"/>
        <v>6.2999999999999972</v>
      </c>
      <c r="O36" s="12">
        <v>83</v>
      </c>
      <c r="P36" s="13">
        <v>39.299999999999997</v>
      </c>
      <c r="Q36" s="13">
        <f t="shared" si="67"/>
        <v>43.7</v>
      </c>
      <c r="R36" s="12">
        <v>83</v>
      </c>
      <c r="S36" s="13">
        <v>60.7</v>
      </c>
      <c r="T36" s="13">
        <f t="shared" si="68"/>
        <v>22.299999999999997</v>
      </c>
      <c r="U36" s="12">
        <v>83</v>
      </c>
      <c r="V36" s="13">
        <v>62.4</v>
      </c>
      <c r="W36" s="13">
        <f t="shared" si="69"/>
        <v>20.6</v>
      </c>
      <c r="X36" s="12">
        <v>83</v>
      </c>
      <c r="Y36" s="13">
        <v>62.4</v>
      </c>
      <c r="Z36" s="13">
        <f t="shared" si="70"/>
        <v>20.6</v>
      </c>
      <c r="AA36" s="12">
        <v>83</v>
      </c>
      <c r="AB36" s="13">
        <v>43</v>
      </c>
      <c r="AC36" s="13">
        <f t="shared" si="71"/>
        <v>40</v>
      </c>
      <c r="AD36" s="12">
        <v>83</v>
      </c>
      <c r="AE36" s="13">
        <f>62.4+50</f>
        <v>112.4</v>
      </c>
      <c r="AF36" s="13">
        <f t="shared" si="45"/>
        <v>-29.400000000000006</v>
      </c>
      <c r="AG36" s="12">
        <v>85</v>
      </c>
      <c r="AH36" s="13">
        <v>62.4</v>
      </c>
      <c r="AI36" s="13">
        <f t="shared" si="72"/>
        <v>22.6</v>
      </c>
      <c r="AJ36" s="12">
        <v>85</v>
      </c>
      <c r="AK36" s="13">
        <v>46.2</v>
      </c>
      <c r="AL36" s="13">
        <f t="shared" si="73"/>
        <v>38.799999999999997</v>
      </c>
      <c r="AM36" s="12">
        <f t="shared" si="47"/>
        <v>1000</v>
      </c>
      <c r="AN36" s="13">
        <f t="shared" si="48"/>
        <v>804.19999999999993</v>
      </c>
      <c r="AO36" s="13">
        <f t="shared" si="49"/>
        <v>195.8</v>
      </c>
      <c r="AP36" s="11"/>
    </row>
    <row r="37" spans="1:42" x14ac:dyDescent="0.25">
      <c r="B37" s="4" t="s">
        <v>21</v>
      </c>
      <c r="C37" s="12"/>
      <c r="D37" s="13"/>
      <c r="E37" s="13">
        <f t="shared" si="60"/>
        <v>0</v>
      </c>
      <c r="F37" s="12"/>
      <c r="G37" s="13"/>
      <c r="H37" s="13">
        <f t="shared" si="65"/>
        <v>0</v>
      </c>
      <c r="I37" s="12">
        <v>600</v>
      </c>
      <c r="J37" s="13">
        <v>388</v>
      </c>
      <c r="K37" s="13">
        <f t="shared" si="62"/>
        <v>212</v>
      </c>
      <c r="L37" s="12"/>
      <c r="M37" s="13"/>
      <c r="N37" s="13">
        <f t="shared" si="66"/>
        <v>0</v>
      </c>
      <c r="O37" s="12"/>
      <c r="P37" s="13"/>
      <c r="Q37" s="13">
        <f t="shared" si="67"/>
        <v>0</v>
      </c>
      <c r="R37" s="12">
        <v>600</v>
      </c>
      <c r="S37" s="13">
        <v>240</v>
      </c>
      <c r="T37" s="13">
        <f t="shared" si="68"/>
        <v>360</v>
      </c>
      <c r="U37" s="12"/>
      <c r="V37" s="13"/>
      <c r="W37" s="13">
        <f t="shared" si="69"/>
        <v>0</v>
      </c>
      <c r="X37" s="12"/>
      <c r="Y37" s="13"/>
      <c r="Z37" s="13">
        <f t="shared" si="70"/>
        <v>0</v>
      </c>
      <c r="AA37" s="12">
        <v>600</v>
      </c>
      <c r="AB37" s="13">
        <v>444</v>
      </c>
      <c r="AC37" s="13">
        <f t="shared" si="71"/>
        <v>156</v>
      </c>
      <c r="AD37" s="12"/>
      <c r="AE37" s="13"/>
      <c r="AF37" s="13">
        <f t="shared" si="45"/>
        <v>0</v>
      </c>
      <c r="AG37" s="12"/>
      <c r="AH37" s="13"/>
      <c r="AI37" s="13">
        <f t="shared" si="72"/>
        <v>0</v>
      </c>
      <c r="AJ37" s="12">
        <v>600</v>
      </c>
      <c r="AK37" s="13">
        <v>388</v>
      </c>
      <c r="AL37" s="13">
        <f t="shared" si="73"/>
        <v>212</v>
      </c>
      <c r="AM37" s="12">
        <f t="shared" si="47"/>
        <v>2400</v>
      </c>
      <c r="AN37" s="13">
        <f t="shared" si="48"/>
        <v>1460</v>
      </c>
      <c r="AO37" s="13">
        <f t="shared" si="49"/>
        <v>940</v>
      </c>
      <c r="AP37" s="11"/>
    </row>
    <row r="38" spans="1:42" x14ac:dyDescent="0.25">
      <c r="B38" s="4" t="s">
        <v>3</v>
      </c>
      <c r="C38" s="12">
        <v>29</v>
      </c>
      <c r="D38" s="13">
        <v>7.5</v>
      </c>
      <c r="E38" s="13">
        <f t="shared" si="60"/>
        <v>21.5</v>
      </c>
      <c r="F38" s="12">
        <v>29</v>
      </c>
      <c r="G38" s="13">
        <v>7.5</v>
      </c>
      <c r="H38" s="13">
        <f t="shared" si="65"/>
        <v>21.5</v>
      </c>
      <c r="I38" s="12">
        <v>29</v>
      </c>
      <c r="J38" s="13">
        <v>7.5</v>
      </c>
      <c r="K38" s="13">
        <f t="shared" si="62"/>
        <v>21.5</v>
      </c>
      <c r="L38" s="12">
        <v>29</v>
      </c>
      <c r="M38" s="13">
        <v>7.5</v>
      </c>
      <c r="N38" s="13">
        <f t="shared" si="66"/>
        <v>21.5</v>
      </c>
      <c r="O38" s="12">
        <v>29</v>
      </c>
      <c r="P38" s="13">
        <v>15</v>
      </c>
      <c r="Q38" s="13">
        <f t="shared" si="67"/>
        <v>14</v>
      </c>
      <c r="R38" s="12">
        <v>29</v>
      </c>
      <c r="S38" s="13">
        <v>15</v>
      </c>
      <c r="T38" s="13">
        <f t="shared" si="68"/>
        <v>14</v>
      </c>
      <c r="U38" s="12">
        <v>29</v>
      </c>
      <c r="V38" s="13">
        <v>15</v>
      </c>
      <c r="W38" s="13">
        <f t="shared" si="69"/>
        <v>14</v>
      </c>
      <c r="X38" s="12">
        <v>29</v>
      </c>
      <c r="Y38" s="13">
        <v>10</v>
      </c>
      <c r="Z38" s="13">
        <f t="shared" si="70"/>
        <v>19</v>
      </c>
      <c r="AA38" s="12">
        <v>29</v>
      </c>
      <c r="AB38" s="13">
        <v>12.5</v>
      </c>
      <c r="AC38" s="13">
        <f t="shared" si="71"/>
        <v>16.5</v>
      </c>
      <c r="AD38" s="12">
        <v>29</v>
      </c>
      <c r="AE38" s="13">
        <v>12.5</v>
      </c>
      <c r="AF38" s="13">
        <f t="shared" si="45"/>
        <v>16.5</v>
      </c>
      <c r="AG38" s="12">
        <v>29</v>
      </c>
      <c r="AH38" s="13">
        <v>12.5</v>
      </c>
      <c r="AI38" s="13">
        <f t="shared" si="72"/>
        <v>16.5</v>
      </c>
      <c r="AJ38" s="12">
        <v>31</v>
      </c>
      <c r="AK38" s="13">
        <v>12.5</v>
      </c>
      <c r="AL38" s="13">
        <f t="shared" si="73"/>
        <v>18.5</v>
      </c>
      <c r="AM38" s="12">
        <f t="shared" si="47"/>
        <v>350</v>
      </c>
      <c r="AN38" s="13">
        <f t="shared" si="48"/>
        <v>135</v>
      </c>
      <c r="AO38" s="13">
        <f t="shared" si="49"/>
        <v>215</v>
      </c>
      <c r="AP38" s="11"/>
    </row>
    <row r="39" spans="1:42" x14ac:dyDescent="0.25">
      <c r="B39" s="4" t="s">
        <v>48</v>
      </c>
      <c r="C39" s="12">
        <v>42</v>
      </c>
      <c r="D39" s="13">
        <v>38.200000000000003</v>
      </c>
      <c r="E39" s="13">
        <f t="shared" si="60"/>
        <v>3.7999999999999972</v>
      </c>
      <c r="F39" s="12">
        <v>42</v>
      </c>
      <c r="G39" s="13">
        <v>42.14</v>
      </c>
      <c r="H39" s="13">
        <f t="shared" si="65"/>
        <v>-0.14000000000000057</v>
      </c>
      <c r="I39" s="12">
        <v>41</v>
      </c>
      <c r="J39" s="13">
        <v>32.619999999999997</v>
      </c>
      <c r="K39" s="13">
        <f t="shared" si="62"/>
        <v>8.3800000000000026</v>
      </c>
      <c r="L39" s="12">
        <v>41</v>
      </c>
      <c r="M39" s="13">
        <v>26.36</v>
      </c>
      <c r="N39" s="13">
        <f t="shared" si="66"/>
        <v>14.64</v>
      </c>
      <c r="O39" s="12">
        <v>41</v>
      </c>
      <c r="P39" s="13">
        <v>25.59</v>
      </c>
      <c r="Q39" s="13">
        <f t="shared" si="67"/>
        <v>15.41</v>
      </c>
      <c r="R39" s="12">
        <v>41</v>
      </c>
      <c r="S39" s="13">
        <v>26.64</v>
      </c>
      <c r="T39" s="13">
        <f t="shared" si="68"/>
        <v>14.36</v>
      </c>
      <c r="U39" s="12">
        <v>41</v>
      </c>
      <c r="V39" s="13">
        <v>34.97</v>
      </c>
      <c r="W39" s="13">
        <f t="shared" si="69"/>
        <v>6.0300000000000011</v>
      </c>
      <c r="X39" s="12">
        <v>41</v>
      </c>
      <c r="Y39" s="13">
        <v>25.59</v>
      </c>
      <c r="Z39" s="13">
        <f t="shared" si="70"/>
        <v>15.41</v>
      </c>
      <c r="AA39" s="12">
        <v>41</v>
      </c>
      <c r="AB39" s="13">
        <v>30.04</v>
      </c>
      <c r="AC39" s="13">
        <f t="shared" si="71"/>
        <v>10.96</v>
      </c>
      <c r="AD39" s="12">
        <v>41</v>
      </c>
      <c r="AE39" s="13">
        <v>23.94</v>
      </c>
      <c r="AF39" s="13">
        <f t="shared" si="45"/>
        <v>17.059999999999999</v>
      </c>
      <c r="AG39" s="12">
        <v>41</v>
      </c>
      <c r="AH39" s="13">
        <v>25.59</v>
      </c>
      <c r="AI39" s="13">
        <f t="shared" si="72"/>
        <v>15.41</v>
      </c>
      <c r="AJ39" s="12">
        <v>47</v>
      </c>
      <c r="AK39" s="13">
        <v>2.7</v>
      </c>
      <c r="AL39" s="13">
        <f t="shared" si="73"/>
        <v>44.3</v>
      </c>
      <c r="AM39" s="12">
        <f t="shared" si="47"/>
        <v>500</v>
      </c>
      <c r="AN39" s="13">
        <f t="shared" si="48"/>
        <v>334.38</v>
      </c>
      <c r="AO39" s="13">
        <f t="shared" si="49"/>
        <v>165.62</v>
      </c>
      <c r="AP39" s="11"/>
    </row>
    <row r="40" spans="1:42" x14ac:dyDescent="0.25">
      <c r="B40" s="4" t="s">
        <v>22</v>
      </c>
      <c r="C40" s="12"/>
      <c r="D40" s="13">
        <v>420</v>
      </c>
      <c r="E40" s="13">
        <f t="shared" si="60"/>
        <v>-420</v>
      </c>
      <c r="F40" s="12">
        <v>500</v>
      </c>
      <c r="G40" s="13"/>
      <c r="H40" s="13">
        <f t="shared" si="65"/>
        <v>500</v>
      </c>
      <c r="I40" s="12"/>
      <c r="J40" s="13"/>
      <c r="K40" s="13">
        <f t="shared" si="62"/>
        <v>0</v>
      </c>
      <c r="L40" s="12"/>
      <c r="M40" s="13">
        <v>300</v>
      </c>
      <c r="N40" s="13">
        <f t="shared" si="66"/>
        <v>-300</v>
      </c>
      <c r="O40" s="12"/>
      <c r="P40" s="13"/>
      <c r="Q40" s="13">
        <f t="shared" si="67"/>
        <v>0</v>
      </c>
      <c r="R40" s="12"/>
      <c r="S40" s="13"/>
      <c r="T40" s="13">
        <f t="shared" si="68"/>
        <v>0</v>
      </c>
      <c r="U40" s="12"/>
      <c r="V40" s="13"/>
      <c r="W40" s="13">
        <f t="shared" si="69"/>
        <v>0</v>
      </c>
      <c r="X40" s="12"/>
      <c r="Y40" s="13"/>
      <c r="Z40" s="13">
        <f t="shared" si="70"/>
        <v>0</v>
      </c>
      <c r="AA40" s="12"/>
      <c r="AB40" s="13"/>
      <c r="AC40" s="13">
        <f t="shared" si="71"/>
        <v>0</v>
      </c>
      <c r="AD40" s="12">
        <v>400</v>
      </c>
      <c r="AE40" s="13"/>
      <c r="AF40" s="13">
        <f t="shared" si="45"/>
        <v>400</v>
      </c>
      <c r="AG40" s="12"/>
      <c r="AH40" s="13"/>
      <c r="AI40" s="13">
        <f t="shared" si="72"/>
        <v>0</v>
      </c>
      <c r="AJ40" s="12"/>
      <c r="AK40" s="13"/>
      <c r="AL40" s="13">
        <f t="shared" si="73"/>
        <v>0</v>
      </c>
      <c r="AM40" s="12">
        <f t="shared" si="47"/>
        <v>900</v>
      </c>
      <c r="AN40" s="13">
        <f t="shared" si="48"/>
        <v>720</v>
      </c>
      <c r="AO40" s="13">
        <f t="shared" si="49"/>
        <v>180</v>
      </c>
      <c r="AP40" s="11"/>
    </row>
    <row r="41" spans="1:42" x14ac:dyDescent="0.25">
      <c r="B41" s="4" t="s">
        <v>23</v>
      </c>
      <c r="C41" s="12">
        <v>400</v>
      </c>
      <c r="D41" s="13">
        <v>800</v>
      </c>
      <c r="E41" s="13">
        <f t="shared" si="60"/>
        <v>-400</v>
      </c>
      <c r="F41" s="12"/>
      <c r="G41" s="13">
        <v>1400</v>
      </c>
      <c r="H41" s="13">
        <f t="shared" si="65"/>
        <v>-1400</v>
      </c>
      <c r="I41" s="12"/>
      <c r="J41" s="13">
        <v>308</v>
      </c>
      <c r="K41" s="13">
        <f t="shared" si="62"/>
        <v>-308</v>
      </c>
      <c r="L41" s="12"/>
      <c r="M41" s="13"/>
      <c r="N41" s="13">
        <f t="shared" si="66"/>
        <v>0</v>
      </c>
      <c r="O41" s="12"/>
      <c r="P41" s="13"/>
      <c r="Q41" s="13">
        <f t="shared" si="67"/>
        <v>0</v>
      </c>
      <c r="R41" s="12">
        <v>600</v>
      </c>
      <c r="S41" s="13">
        <v>725</v>
      </c>
      <c r="T41" s="13">
        <f t="shared" si="68"/>
        <v>-125</v>
      </c>
      <c r="U41" s="12"/>
      <c r="V41" s="13"/>
      <c r="W41" s="13">
        <f t="shared" si="69"/>
        <v>0</v>
      </c>
      <c r="X41" s="12"/>
      <c r="Y41" s="13">
        <v>650</v>
      </c>
      <c r="Z41" s="13">
        <f t="shared" si="70"/>
        <v>-650</v>
      </c>
      <c r="AA41" s="12">
        <v>1000</v>
      </c>
      <c r="AB41" s="13">
        <v>400</v>
      </c>
      <c r="AC41" s="13">
        <f t="shared" si="71"/>
        <v>600</v>
      </c>
      <c r="AD41" s="12"/>
      <c r="AE41" s="13">
        <f>275+1400</f>
        <v>1675</v>
      </c>
      <c r="AF41" s="13">
        <f t="shared" si="45"/>
        <v>-1675</v>
      </c>
      <c r="AG41" s="12"/>
      <c r="AH41" s="13">
        <v>200</v>
      </c>
      <c r="AI41" s="13">
        <f t="shared" si="72"/>
        <v>-200</v>
      </c>
      <c r="AJ41" s="12">
        <v>0</v>
      </c>
      <c r="AK41" s="13"/>
      <c r="AL41" s="13">
        <f t="shared" si="73"/>
        <v>0</v>
      </c>
      <c r="AM41" s="12">
        <f t="shared" si="47"/>
        <v>2000</v>
      </c>
      <c r="AN41" s="13">
        <f t="shared" si="48"/>
        <v>6158</v>
      </c>
      <c r="AO41" s="13">
        <f t="shared" si="49"/>
        <v>-4158</v>
      </c>
      <c r="AP41" s="11"/>
    </row>
    <row r="42" spans="1:42" x14ac:dyDescent="0.25">
      <c r="B42" s="4" t="s">
        <v>49</v>
      </c>
      <c r="C42" s="12"/>
      <c r="D42" s="13"/>
      <c r="E42" s="13">
        <f t="shared" si="60"/>
        <v>0</v>
      </c>
      <c r="F42" s="12"/>
      <c r="G42" s="13"/>
      <c r="H42" s="13">
        <f t="shared" si="65"/>
        <v>0</v>
      </c>
      <c r="I42" s="12"/>
      <c r="J42" s="13">
        <v>36</v>
      </c>
      <c r="K42" s="13">
        <f t="shared" si="62"/>
        <v>-36</v>
      </c>
      <c r="L42" s="12"/>
      <c r="M42" s="13">
        <v>50</v>
      </c>
      <c r="N42" s="13">
        <f t="shared" si="66"/>
        <v>-50</v>
      </c>
      <c r="O42" s="12">
        <v>50</v>
      </c>
      <c r="P42" s="13">
        <v>215</v>
      </c>
      <c r="Q42" s="13">
        <f t="shared" si="67"/>
        <v>-165</v>
      </c>
      <c r="R42" s="12">
        <v>150</v>
      </c>
      <c r="S42" s="13"/>
      <c r="T42" s="13">
        <f t="shared" si="68"/>
        <v>150</v>
      </c>
      <c r="U42" s="12"/>
      <c r="V42" s="13"/>
      <c r="W42" s="13">
        <f t="shared" si="69"/>
        <v>0</v>
      </c>
      <c r="X42" s="12"/>
      <c r="Y42" s="13"/>
      <c r="Z42" s="13">
        <f t="shared" si="70"/>
        <v>0</v>
      </c>
      <c r="AA42" s="12"/>
      <c r="AB42" s="13"/>
      <c r="AC42" s="13">
        <f t="shared" si="71"/>
        <v>0</v>
      </c>
      <c r="AD42" s="12"/>
      <c r="AE42" s="13"/>
      <c r="AF42" s="13">
        <f t="shared" si="45"/>
        <v>0</v>
      </c>
      <c r="AG42" s="12"/>
      <c r="AH42" s="13"/>
      <c r="AI42" s="13">
        <f t="shared" si="72"/>
        <v>0</v>
      </c>
      <c r="AJ42" s="12">
        <v>400</v>
      </c>
      <c r="AK42" s="13">
        <v>509.59</v>
      </c>
      <c r="AL42" s="13">
        <f t="shared" si="73"/>
        <v>-109.58999999999997</v>
      </c>
      <c r="AM42" s="12">
        <f t="shared" si="47"/>
        <v>600</v>
      </c>
      <c r="AN42" s="13">
        <f t="shared" si="48"/>
        <v>810.58999999999992</v>
      </c>
      <c r="AO42" s="13">
        <f t="shared" si="49"/>
        <v>-210.58999999999997</v>
      </c>
      <c r="AP42" s="11"/>
    </row>
    <row r="43" spans="1:42" x14ac:dyDescent="0.25">
      <c r="A43">
        <v>0</v>
      </c>
      <c r="B43" s="4" t="s">
        <v>63</v>
      </c>
      <c r="C43" s="12">
        <v>415</v>
      </c>
      <c r="D43" s="13">
        <f>350+42.3-14.1+28.2</f>
        <v>406.4</v>
      </c>
      <c r="E43" s="13">
        <f t="shared" si="60"/>
        <v>8.6000000000000227</v>
      </c>
      <c r="F43" s="12">
        <v>415</v>
      </c>
      <c r="G43" s="13">
        <f>350+28.2</f>
        <v>378.2</v>
      </c>
      <c r="H43" s="13">
        <f t="shared" si="65"/>
        <v>36.800000000000011</v>
      </c>
      <c r="I43" s="12">
        <v>415</v>
      </c>
      <c r="J43" s="13">
        <v>1174.77</v>
      </c>
      <c r="K43" s="13">
        <f t="shared" si="62"/>
        <v>-759.77</v>
      </c>
      <c r="L43" s="12">
        <v>415</v>
      </c>
      <c r="M43" s="13">
        <f>350+30.67-28.2</f>
        <v>352.47</v>
      </c>
      <c r="N43" s="13">
        <f t="shared" si="66"/>
        <v>62.529999999999973</v>
      </c>
      <c r="O43" s="12">
        <v>415</v>
      </c>
      <c r="P43" s="13">
        <f>350+30.67-28.2+350</f>
        <v>702.47</v>
      </c>
      <c r="Q43" s="13">
        <f>SUM(O43-P43)</f>
        <v>-287.47000000000003</v>
      </c>
      <c r="R43" s="12">
        <v>415</v>
      </c>
      <c r="S43" s="13">
        <f>1174.77+33.73-30.45</f>
        <v>1178.05</v>
      </c>
      <c r="T43" s="13">
        <f t="shared" si="68"/>
        <v>-763.05</v>
      </c>
      <c r="U43" s="12">
        <v>415</v>
      </c>
      <c r="V43" s="13">
        <f>350+32.85+350-2.38-30.45</f>
        <v>700.02</v>
      </c>
      <c r="W43" s="13">
        <f t="shared" si="69"/>
        <v>-285.02</v>
      </c>
      <c r="X43" s="12">
        <v>415</v>
      </c>
      <c r="Y43" s="13">
        <f>30.45+350-30.45+30</f>
        <v>380</v>
      </c>
      <c r="Z43" s="13">
        <f t="shared" si="70"/>
        <v>35</v>
      </c>
      <c r="AA43" s="12">
        <v>415</v>
      </c>
      <c r="AB43" s="13">
        <f>30.45+1174.77+350</f>
        <v>1555.22</v>
      </c>
      <c r="AC43" s="13">
        <f t="shared" si="71"/>
        <v>-1140.22</v>
      </c>
      <c r="AD43" s="12">
        <v>415</v>
      </c>
      <c r="AE43" s="13">
        <f>30.45+350</f>
        <v>380.45</v>
      </c>
      <c r="AF43" s="13">
        <f t="shared" si="45"/>
        <v>34.550000000000011</v>
      </c>
      <c r="AG43" s="12">
        <v>415</v>
      </c>
      <c r="AH43" s="13">
        <f>30.45+350</f>
        <v>380.45</v>
      </c>
      <c r="AI43" s="13">
        <f t="shared" si="72"/>
        <v>34.550000000000011</v>
      </c>
      <c r="AJ43" s="12">
        <v>435</v>
      </c>
      <c r="AK43" s="13">
        <f>350+1174.77+33.5-3.05</f>
        <v>1555.22</v>
      </c>
      <c r="AL43" s="13">
        <f t="shared" si="73"/>
        <v>-1120.22</v>
      </c>
      <c r="AM43" s="12">
        <f t="shared" si="47"/>
        <v>5000</v>
      </c>
      <c r="AN43" s="13">
        <f t="shared" si="48"/>
        <v>9143.7200000000012</v>
      </c>
      <c r="AO43" s="13">
        <f t="shared" si="49"/>
        <v>-4143.7199999999993</v>
      </c>
      <c r="AP43" s="39"/>
    </row>
    <row r="44" spans="1:42" x14ac:dyDescent="0.25">
      <c r="B44" s="4" t="s">
        <v>24</v>
      </c>
      <c r="C44" s="12"/>
      <c r="D44" s="13">
        <v>355.64</v>
      </c>
      <c r="E44" s="13">
        <f t="shared" si="60"/>
        <v>-355.64</v>
      </c>
      <c r="F44" s="12"/>
      <c r="G44" s="13">
        <v>675</v>
      </c>
      <c r="H44" s="13">
        <f t="shared" si="65"/>
        <v>-675</v>
      </c>
      <c r="I44" s="12"/>
      <c r="J44" s="13">
        <v>60</v>
      </c>
      <c r="K44" s="13">
        <f t="shared" si="62"/>
        <v>-60</v>
      </c>
      <c r="L44" s="12"/>
      <c r="M44" s="13">
        <v>130</v>
      </c>
      <c r="N44" s="13">
        <f t="shared" si="66"/>
        <v>-130</v>
      </c>
      <c r="O44" s="12"/>
      <c r="P44" s="13"/>
      <c r="Q44" s="13">
        <f t="shared" si="67"/>
        <v>0</v>
      </c>
      <c r="R44" s="12"/>
      <c r="S44" s="13"/>
      <c r="T44" s="13">
        <f t="shared" si="68"/>
        <v>0</v>
      </c>
      <c r="U44" s="12"/>
      <c r="V44" s="13">
        <v>390</v>
      </c>
      <c r="W44" s="13">
        <f t="shared" si="69"/>
        <v>-390</v>
      </c>
      <c r="X44" s="12"/>
      <c r="Y44" s="13">
        <v>115</v>
      </c>
      <c r="Z44" s="13">
        <f t="shared" si="70"/>
        <v>-115</v>
      </c>
      <c r="AA44" s="12"/>
      <c r="AB44" s="13"/>
      <c r="AC44" s="13">
        <f t="shared" si="71"/>
        <v>0</v>
      </c>
      <c r="AD44" s="12"/>
      <c r="AE44" s="13">
        <v>250</v>
      </c>
      <c r="AF44" s="13">
        <f t="shared" si="45"/>
        <v>-250</v>
      </c>
      <c r="AG44" s="12"/>
      <c r="AH44" s="13"/>
      <c r="AI44" s="13">
        <f t="shared" si="72"/>
        <v>0</v>
      </c>
      <c r="AJ44" s="12"/>
      <c r="AK44" s="13">
        <v>350</v>
      </c>
      <c r="AL44" s="13">
        <f t="shared" si="73"/>
        <v>-350</v>
      </c>
      <c r="AM44" s="12">
        <f t="shared" si="47"/>
        <v>0</v>
      </c>
      <c r="AN44" s="13">
        <f t="shared" si="48"/>
        <v>2325.64</v>
      </c>
      <c r="AO44" s="13">
        <f t="shared" si="49"/>
        <v>-2325.64</v>
      </c>
      <c r="AP44" s="11"/>
    </row>
    <row r="45" spans="1:42" x14ac:dyDescent="0.25">
      <c r="B45" s="4" t="s">
        <v>107</v>
      </c>
      <c r="C45" s="12">
        <v>85</v>
      </c>
      <c r="D45" s="13">
        <f>6.72+30.51+2.92+7.08+68.49</f>
        <v>115.72</v>
      </c>
      <c r="E45" s="13">
        <f t="shared" si="60"/>
        <v>-30.72</v>
      </c>
      <c r="F45" s="12">
        <v>85</v>
      </c>
      <c r="G45" s="13">
        <v>32.97</v>
      </c>
      <c r="H45" s="13">
        <f t="shared" si="65"/>
        <v>52.03</v>
      </c>
      <c r="I45" s="12">
        <v>85</v>
      </c>
      <c r="J45" s="13">
        <f>13.92+3.33+1.67+33.32+63.35</f>
        <v>115.59</v>
      </c>
      <c r="K45" s="13">
        <f t="shared" si="62"/>
        <v>-30.590000000000003</v>
      </c>
      <c r="L45" s="12">
        <v>85</v>
      </c>
      <c r="M45" s="13">
        <f>7+30.82+2.71</f>
        <v>40.53</v>
      </c>
      <c r="N45" s="13">
        <f t="shared" si="66"/>
        <v>44.47</v>
      </c>
      <c r="O45" s="12">
        <v>85</v>
      </c>
      <c r="P45" s="13">
        <f>13.92+8.75</f>
        <v>22.67</v>
      </c>
      <c r="Q45" s="13">
        <f t="shared" si="67"/>
        <v>62.33</v>
      </c>
      <c r="R45" s="12">
        <v>85</v>
      </c>
      <c r="S45" s="13">
        <f>13.92+1.67+69.79+3.33</f>
        <v>88.710000000000008</v>
      </c>
      <c r="T45" s="13">
        <f t="shared" si="68"/>
        <v>-3.710000000000008</v>
      </c>
      <c r="U45" s="12">
        <v>85</v>
      </c>
      <c r="V45" s="13">
        <f>140.4-69.79</f>
        <v>70.61</v>
      </c>
      <c r="W45" s="13">
        <f t="shared" si="69"/>
        <v>14.39</v>
      </c>
      <c r="X45" s="12">
        <v>85</v>
      </c>
      <c r="Y45" s="13">
        <f>13.92</f>
        <v>13.92</v>
      </c>
      <c r="Z45" s="13">
        <f t="shared" si="70"/>
        <v>71.08</v>
      </c>
      <c r="AA45" s="12">
        <v>85</v>
      </c>
      <c r="AB45" s="13">
        <v>30</v>
      </c>
      <c r="AC45" s="13">
        <f t="shared" si="71"/>
        <v>55</v>
      </c>
      <c r="AD45" s="12">
        <v>85</v>
      </c>
      <c r="AE45" s="13">
        <f>168+13.92+8.63+2.91</f>
        <v>193.45999999999998</v>
      </c>
      <c r="AF45" s="13">
        <f t="shared" si="45"/>
        <v>-108.45999999999998</v>
      </c>
      <c r="AG45" s="12">
        <v>85</v>
      </c>
      <c r="AH45" s="13">
        <v>6.66</v>
      </c>
      <c r="AI45" s="13">
        <f t="shared" si="72"/>
        <v>78.34</v>
      </c>
      <c r="AJ45" s="12">
        <v>65</v>
      </c>
      <c r="AK45" s="13">
        <f>6.66+13.92+4.17</f>
        <v>24.75</v>
      </c>
      <c r="AL45" s="13">
        <f t="shared" si="73"/>
        <v>40.25</v>
      </c>
      <c r="AM45" s="12">
        <f t="shared" si="47"/>
        <v>1000</v>
      </c>
      <c r="AN45" s="46">
        <f t="shared" si="48"/>
        <v>755.59</v>
      </c>
      <c r="AO45" s="13">
        <f t="shared" si="49"/>
        <v>244.41</v>
      </c>
      <c r="AP45" s="11"/>
    </row>
    <row r="46" spans="1:42" x14ac:dyDescent="0.25">
      <c r="B46" s="4" t="s">
        <v>55</v>
      </c>
      <c r="C46" s="12">
        <v>0</v>
      </c>
      <c r="D46" s="13"/>
      <c r="E46" s="13">
        <f t="shared" si="60"/>
        <v>0</v>
      </c>
      <c r="F46" s="12">
        <v>0</v>
      </c>
      <c r="G46" s="13"/>
      <c r="H46" s="13">
        <f t="shared" si="65"/>
        <v>0</v>
      </c>
      <c r="I46" s="12">
        <v>520</v>
      </c>
      <c r="J46" s="13">
        <f>22.25+79</f>
        <v>101.25</v>
      </c>
      <c r="K46" s="13">
        <f t="shared" si="62"/>
        <v>418.75</v>
      </c>
      <c r="L46" s="12">
        <v>520</v>
      </c>
      <c r="M46" s="13">
        <f>346.59+1090</f>
        <v>1436.59</v>
      </c>
      <c r="N46" s="13">
        <f t="shared" si="66"/>
        <v>-916.58999999999992</v>
      </c>
      <c r="O46" s="12">
        <v>520</v>
      </c>
      <c r="P46" s="13"/>
      <c r="Q46" s="13">
        <f t="shared" si="67"/>
        <v>520</v>
      </c>
      <c r="R46" s="12">
        <v>520</v>
      </c>
      <c r="S46" s="13">
        <f>1445.11+1083</f>
        <v>2528.1099999999997</v>
      </c>
      <c r="T46" s="13">
        <f t="shared" si="68"/>
        <v>-2008.1099999999997</v>
      </c>
      <c r="U46" s="12">
        <v>520</v>
      </c>
      <c r="V46" s="13">
        <v>1093</v>
      </c>
      <c r="W46" s="13">
        <f t="shared" si="69"/>
        <v>-573</v>
      </c>
      <c r="X46" s="12">
        <v>520</v>
      </c>
      <c r="Y46" s="13"/>
      <c r="Z46" s="13">
        <f t="shared" si="70"/>
        <v>520</v>
      </c>
      <c r="AA46" s="12">
        <v>520</v>
      </c>
      <c r="AB46" s="13"/>
      <c r="AC46" s="13">
        <f t="shared" si="71"/>
        <v>520</v>
      </c>
      <c r="AD46" s="12">
        <v>1040</v>
      </c>
      <c r="AE46" s="13">
        <v>23.05</v>
      </c>
      <c r="AF46" s="13">
        <f t="shared" si="45"/>
        <v>1016.95</v>
      </c>
      <c r="AG46" s="12">
        <v>1040</v>
      </c>
      <c r="AH46" s="13"/>
      <c r="AI46" s="13">
        <f t="shared" si="72"/>
        <v>1040</v>
      </c>
      <c r="AJ46" s="12">
        <v>530</v>
      </c>
      <c r="AK46" s="13"/>
      <c r="AL46" s="13">
        <f t="shared" si="73"/>
        <v>530</v>
      </c>
      <c r="AM46" s="12">
        <f t="shared" si="47"/>
        <v>6250</v>
      </c>
      <c r="AN46" s="13">
        <f t="shared" si="48"/>
        <v>5182</v>
      </c>
      <c r="AO46" s="13">
        <f t="shared" si="49"/>
        <v>1068.0000000000002</v>
      </c>
      <c r="AP46" s="11"/>
    </row>
    <row r="47" spans="1:42" x14ac:dyDescent="0.25">
      <c r="B47" s="4" t="s">
        <v>64</v>
      </c>
      <c r="C47" s="12">
        <v>304.75</v>
      </c>
      <c r="D47" s="13"/>
      <c r="E47" s="13">
        <f t="shared" si="60"/>
        <v>304.75</v>
      </c>
      <c r="F47" s="12"/>
      <c r="G47" s="13"/>
      <c r="H47" s="13">
        <f t="shared" si="65"/>
        <v>0</v>
      </c>
      <c r="I47" s="12"/>
      <c r="J47" s="13"/>
      <c r="K47" s="13">
        <f t="shared" si="62"/>
        <v>0</v>
      </c>
      <c r="L47" s="12">
        <v>304.75</v>
      </c>
      <c r="M47" s="13"/>
      <c r="N47" s="13">
        <f t="shared" si="66"/>
        <v>304.75</v>
      </c>
      <c r="O47" s="12"/>
      <c r="P47" s="13"/>
      <c r="Q47" s="13">
        <f t="shared" si="67"/>
        <v>0</v>
      </c>
      <c r="R47" s="12"/>
      <c r="S47" s="13"/>
      <c r="T47" s="13">
        <f t="shared" si="68"/>
        <v>0</v>
      </c>
      <c r="U47" s="12">
        <v>304.75</v>
      </c>
      <c r="V47" s="13"/>
      <c r="W47" s="13">
        <f t="shared" si="69"/>
        <v>304.75</v>
      </c>
      <c r="X47" s="12"/>
      <c r="Y47" s="13"/>
      <c r="Z47" s="13">
        <f t="shared" si="70"/>
        <v>0</v>
      </c>
      <c r="AA47" s="12"/>
      <c r="AB47" s="13"/>
      <c r="AC47" s="13">
        <f t="shared" si="71"/>
        <v>0</v>
      </c>
      <c r="AD47" s="12"/>
      <c r="AE47" s="13"/>
      <c r="AF47" s="13">
        <f t="shared" si="45"/>
        <v>0</v>
      </c>
      <c r="AG47" s="12">
        <v>304.75</v>
      </c>
      <c r="AH47" s="13"/>
      <c r="AI47" s="13">
        <f t="shared" si="72"/>
        <v>304.75</v>
      </c>
      <c r="AJ47" s="12"/>
      <c r="AK47" s="13"/>
      <c r="AL47" s="13">
        <f t="shared" si="73"/>
        <v>0</v>
      </c>
      <c r="AM47" s="12">
        <f t="shared" si="47"/>
        <v>1219</v>
      </c>
      <c r="AN47" s="13">
        <f t="shared" si="48"/>
        <v>0</v>
      </c>
      <c r="AO47" s="13">
        <f t="shared" si="49"/>
        <v>1219</v>
      </c>
      <c r="AP47" s="11"/>
    </row>
    <row r="48" spans="1:42" x14ac:dyDescent="0.25">
      <c r="B48" s="4" t="s">
        <v>56</v>
      </c>
      <c r="C48" s="12"/>
      <c r="D48" s="13"/>
      <c r="E48" s="13">
        <f t="shared" ref="E48:E52" si="74">SUM(C48-D48)</f>
        <v>0</v>
      </c>
      <c r="F48" s="12"/>
      <c r="G48" s="13"/>
      <c r="H48" s="13">
        <f t="shared" ref="H48:H51" si="75">SUM(F48-G48)</f>
        <v>0</v>
      </c>
      <c r="I48" s="12">
        <v>300</v>
      </c>
      <c r="J48" s="13">
        <v>210</v>
      </c>
      <c r="K48" s="13">
        <f t="shared" ref="K48:K52" si="76">SUM(I48-J48)</f>
        <v>90</v>
      </c>
      <c r="L48" s="12"/>
      <c r="M48" s="13"/>
      <c r="N48" s="13">
        <f t="shared" ref="N48:N52" si="77">SUM(L48-M48)</f>
        <v>0</v>
      </c>
      <c r="O48" s="12"/>
      <c r="P48" s="13"/>
      <c r="Q48" s="13">
        <f t="shared" ref="Q48:Q51" si="78">SUM(O48-P48)</f>
        <v>0</v>
      </c>
      <c r="R48" s="12"/>
      <c r="S48" s="13">
        <v>99</v>
      </c>
      <c r="T48" s="13">
        <f t="shared" ref="T48:T51" si="79">SUM(R48-S48)</f>
        <v>-99</v>
      </c>
      <c r="U48" s="12"/>
      <c r="V48" s="13"/>
      <c r="W48" s="13">
        <f t="shared" ref="W48:W51" si="80">SUM(U48-V48)</f>
        <v>0</v>
      </c>
      <c r="X48" s="12"/>
      <c r="Y48" s="13"/>
      <c r="Z48" s="13">
        <f t="shared" ref="Z48:Z52" si="81">SUM(X48-Y48)</f>
        <v>0</v>
      </c>
      <c r="AA48" s="12"/>
      <c r="AB48" s="13"/>
      <c r="AC48" s="13">
        <f t="shared" ref="AC48:AC52" si="82">SUM(AA48-AB48)</f>
        <v>0</v>
      </c>
      <c r="AD48" s="12"/>
      <c r="AE48" s="13">
        <v>207.9</v>
      </c>
      <c r="AF48" s="13">
        <f t="shared" ref="AF48:AF52" si="83">SUM(AD48-AE48)</f>
        <v>-207.9</v>
      </c>
      <c r="AG48" s="12"/>
      <c r="AH48" s="13"/>
      <c r="AI48" s="13">
        <f t="shared" ref="AI48:AI51" si="84">SUM(AG48-AH48)</f>
        <v>0</v>
      </c>
      <c r="AJ48" s="12">
        <v>200</v>
      </c>
      <c r="AK48" s="13"/>
      <c r="AL48" s="13">
        <f t="shared" ref="AL48:AL52" si="85">SUM(AJ48-AK48)</f>
        <v>200</v>
      </c>
      <c r="AM48" s="12">
        <f t="shared" si="47"/>
        <v>500</v>
      </c>
      <c r="AN48" s="13">
        <f t="shared" si="48"/>
        <v>516.9</v>
      </c>
      <c r="AO48" s="13">
        <f t="shared" si="49"/>
        <v>-16.900000000000006</v>
      </c>
      <c r="AP48" s="11"/>
    </row>
    <row r="49" spans="2:42" x14ac:dyDescent="0.25">
      <c r="B49" s="4" t="s">
        <v>37</v>
      </c>
      <c r="C49" s="12"/>
      <c r="D49" s="13">
        <f>249.99+74.99</f>
        <v>324.98</v>
      </c>
      <c r="E49" s="13">
        <f t="shared" si="74"/>
        <v>-324.98</v>
      </c>
      <c r="F49" s="12"/>
      <c r="G49" s="13"/>
      <c r="H49" s="13">
        <f t="shared" si="75"/>
        <v>0</v>
      </c>
      <c r="I49" s="12">
        <v>200</v>
      </c>
      <c r="J49" s="13"/>
      <c r="K49" s="13">
        <f t="shared" si="76"/>
        <v>200</v>
      </c>
      <c r="L49" s="12"/>
      <c r="M49" s="13"/>
      <c r="N49" s="13">
        <f t="shared" si="77"/>
        <v>0</v>
      </c>
      <c r="O49" s="12">
        <v>200</v>
      </c>
      <c r="P49" s="13">
        <f>24.99+3.15</f>
        <v>28.139999999999997</v>
      </c>
      <c r="Q49" s="13">
        <f t="shared" si="78"/>
        <v>171.86</v>
      </c>
      <c r="R49" s="12"/>
      <c r="S49" s="13"/>
      <c r="T49" s="13">
        <f t="shared" si="79"/>
        <v>0</v>
      </c>
      <c r="U49" s="12"/>
      <c r="V49" s="13">
        <v>66.66</v>
      </c>
      <c r="W49" s="13">
        <f t="shared" si="80"/>
        <v>-66.66</v>
      </c>
      <c r="X49" s="12"/>
      <c r="Y49" s="13"/>
      <c r="Z49" s="13">
        <f t="shared" si="81"/>
        <v>0</v>
      </c>
      <c r="AA49" s="12"/>
      <c r="AB49" s="13"/>
      <c r="AC49" s="13">
        <f t="shared" si="82"/>
        <v>0</v>
      </c>
      <c r="AD49" s="12">
        <v>100</v>
      </c>
      <c r="AE49" s="13"/>
      <c r="AF49" s="13">
        <f t="shared" si="83"/>
        <v>100</v>
      </c>
      <c r="AG49" s="12"/>
      <c r="AH49" s="13"/>
      <c r="AI49" s="13">
        <f t="shared" si="84"/>
        <v>0</v>
      </c>
      <c r="AJ49" s="12"/>
      <c r="AK49" s="13"/>
      <c r="AL49" s="13">
        <f t="shared" si="85"/>
        <v>0</v>
      </c>
      <c r="AM49" s="12">
        <f t="shared" si="47"/>
        <v>500</v>
      </c>
      <c r="AN49" s="13">
        <f t="shared" si="48"/>
        <v>419.78</v>
      </c>
      <c r="AO49" s="13">
        <f t="shared" si="49"/>
        <v>80.22</v>
      </c>
      <c r="AP49" s="11"/>
    </row>
    <row r="50" spans="2:42" x14ac:dyDescent="0.25">
      <c r="B50" s="4" t="s">
        <v>170</v>
      </c>
      <c r="C50" s="12"/>
      <c r="D50" s="13"/>
      <c r="E50" s="13">
        <f t="shared" si="74"/>
        <v>0</v>
      </c>
      <c r="F50" s="12">
        <v>150</v>
      </c>
      <c r="G50" s="13"/>
      <c r="H50" s="13">
        <f t="shared" si="75"/>
        <v>150</v>
      </c>
      <c r="I50" s="12"/>
      <c r="J50" s="13"/>
      <c r="K50" s="13">
        <f t="shared" si="76"/>
        <v>0</v>
      </c>
      <c r="L50" s="12">
        <v>150</v>
      </c>
      <c r="M50" s="13"/>
      <c r="N50" s="13">
        <f t="shared" si="77"/>
        <v>150</v>
      </c>
      <c r="O50" s="12">
        <v>0</v>
      </c>
      <c r="P50" s="13"/>
      <c r="Q50" s="13">
        <f t="shared" si="78"/>
        <v>0</v>
      </c>
      <c r="R50" s="12">
        <v>0</v>
      </c>
      <c r="S50" s="13"/>
      <c r="T50" s="13">
        <f t="shared" si="79"/>
        <v>0</v>
      </c>
      <c r="U50" s="12">
        <v>0</v>
      </c>
      <c r="V50" s="13">
        <v>50</v>
      </c>
      <c r="W50" s="13">
        <f t="shared" si="80"/>
        <v>-50</v>
      </c>
      <c r="X50" s="12">
        <v>150</v>
      </c>
      <c r="Y50" s="13"/>
      <c r="Z50" s="13">
        <f t="shared" si="81"/>
        <v>150</v>
      </c>
      <c r="AA50" s="12">
        <v>150</v>
      </c>
      <c r="AB50" s="13"/>
      <c r="AC50" s="13">
        <f t="shared" si="82"/>
        <v>150</v>
      </c>
      <c r="AD50" s="12">
        <v>150</v>
      </c>
      <c r="AE50" s="13"/>
      <c r="AF50" s="13">
        <f t="shared" si="83"/>
        <v>150</v>
      </c>
      <c r="AG50" s="12">
        <v>150</v>
      </c>
      <c r="AH50" s="13"/>
      <c r="AI50" s="13">
        <f t="shared" si="84"/>
        <v>150</v>
      </c>
      <c r="AJ50" s="12">
        <v>100</v>
      </c>
      <c r="AK50" s="13">
        <v>35</v>
      </c>
      <c r="AL50" s="13">
        <f t="shared" si="85"/>
        <v>65</v>
      </c>
      <c r="AM50" s="12">
        <f t="shared" si="47"/>
        <v>1000</v>
      </c>
      <c r="AN50" s="13">
        <f t="shared" si="48"/>
        <v>85</v>
      </c>
      <c r="AO50" s="13">
        <f t="shared" si="49"/>
        <v>915</v>
      </c>
      <c r="AP50" s="11"/>
    </row>
    <row r="51" spans="2:42" x14ac:dyDescent="0.25">
      <c r="B51" s="4"/>
      <c r="C51" s="12"/>
      <c r="D51" s="13"/>
      <c r="E51" s="13">
        <f t="shared" si="74"/>
        <v>0</v>
      </c>
      <c r="F51" s="12"/>
      <c r="G51" s="13"/>
      <c r="H51" s="13">
        <f t="shared" si="75"/>
        <v>0</v>
      </c>
      <c r="I51" s="12"/>
      <c r="J51" s="13"/>
      <c r="K51" s="13">
        <f t="shared" si="76"/>
        <v>0</v>
      </c>
      <c r="L51" s="12"/>
      <c r="M51" s="13"/>
      <c r="N51" s="13">
        <f t="shared" si="77"/>
        <v>0</v>
      </c>
      <c r="O51" s="12"/>
      <c r="P51" s="13"/>
      <c r="Q51" s="13">
        <f t="shared" si="78"/>
        <v>0</v>
      </c>
      <c r="R51" s="12"/>
      <c r="S51" s="13"/>
      <c r="T51" s="13">
        <f t="shared" si="79"/>
        <v>0</v>
      </c>
      <c r="U51" s="12"/>
      <c r="V51" s="13"/>
      <c r="W51" s="13">
        <f t="shared" si="80"/>
        <v>0</v>
      </c>
      <c r="X51" s="12"/>
      <c r="Y51" s="13"/>
      <c r="Z51" s="13">
        <f t="shared" si="81"/>
        <v>0</v>
      </c>
      <c r="AA51" s="12"/>
      <c r="AB51" s="13"/>
      <c r="AC51" s="13">
        <f t="shared" si="82"/>
        <v>0</v>
      </c>
      <c r="AD51" s="12"/>
      <c r="AE51" s="13"/>
      <c r="AF51" s="13">
        <f t="shared" si="83"/>
        <v>0</v>
      </c>
      <c r="AG51" s="12"/>
      <c r="AH51" s="13"/>
      <c r="AI51" s="13">
        <f t="shared" si="84"/>
        <v>0</v>
      </c>
      <c r="AJ51" s="12"/>
      <c r="AK51" s="13"/>
      <c r="AL51" s="13">
        <f t="shared" si="85"/>
        <v>0</v>
      </c>
      <c r="AM51" s="12">
        <f t="shared" si="47"/>
        <v>0</v>
      </c>
      <c r="AN51" s="13">
        <f t="shared" si="48"/>
        <v>0</v>
      </c>
      <c r="AO51" s="13">
        <f t="shared" si="49"/>
        <v>0</v>
      </c>
      <c r="AP51" s="11"/>
    </row>
    <row r="52" spans="2:42" x14ac:dyDescent="0.25">
      <c r="B52" s="4" t="s">
        <v>46</v>
      </c>
      <c r="C52" s="12"/>
      <c r="D52" s="13"/>
      <c r="E52" s="13">
        <f t="shared" si="74"/>
        <v>0</v>
      </c>
      <c r="F52" s="12"/>
      <c r="G52" s="13"/>
      <c r="H52" s="13">
        <f>SUM(F52-G52)</f>
        <v>0</v>
      </c>
      <c r="I52" s="12"/>
      <c r="J52" s="13"/>
      <c r="K52" s="13">
        <f t="shared" si="76"/>
        <v>0</v>
      </c>
      <c r="L52" s="12"/>
      <c r="M52" s="13"/>
      <c r="N52" s="13">
        <f t="shared" si="77"/>
        <v>0</v>
      </c>
      <c r="O52" s="12"/>
      <c r="P52" s="13"/>
      <c r="Q52" s="13">
        <f>SUM(O52-P52)</f>
        <v>0</v>
      </c>
      <c r="R52" s="12"/>
      <c r="S52" s="13"/>
      <c r="T52" s="13">
        <f>SUM(R52-S52)</f>
        <v>0</v>
      </c>
      <c r="U52" s="12"/>
      <c r="V52" s="13"/>
      <c r="W52" s="13">
        <f>SUM(U52-V52)</f>
        <v>0</v>
      </c>
      <c r="X52" s="12"/>
      <c r="Y52" s="13"/>
      <c r="Z52" s="13">
        <f t="shared" si="81"/>
        <v>0</v>
      </c>
      <c r="AA52" s="12"/>
      <c r="AB52" s="13"/>
      <c r="AC52" s="13">
        <f t="shared" si="82"/>
        <v>0</v>
      </c>
      <c r="AD52" s="12"/>
      <c r="AE52" s="13"/>
      <c r="AF52" s="13">
        <f t="shared" si="83"/>
        <v>0</v>
      </c>
      <c r="AG52" s="12"/>
      <c r="AH52" s="13"/>
      <c r="AI52" s="13">
        <f>SUM(AG52-AH52)</f>
        <v>0</v>
      </c>
      <c r="AJ52" s="12"/>
      <c r="AK52" s="13"/>
      <c r="AL52" s="13">
        <f t="shared" si="85"/>
        <v>0</v>
      </c>
      <c r="AM52" s="12">
        <f t="shared" si="47"/>
        <v>0</v>
      </c>
      <c r="AN52" s="13">
        <f t="shared" si="48"/>
        <v>0</v>
      </c>
      <c r="AO52" s="13">
        <f t="shared" si="49"/>
        <v>0</v>
      </c>
      <c r="AP52" s="11"/>
    </row>
    <row r="53" spans="2:42" x14ac:dyDescent="0.25">
      <c r="B53" s="4" t="s">
        <v>62</v>
      </c>
      <c r="C53" s="12"/>
      <c r="D53" s="13"/>
      <c r="E53" s="13">
        <f>SUM(C53-D53)</f>
        <v>0</v>
      </c>
      <c r="F53" s="12"/>
      <c r="G53" s="13"/>
      <c r="H53" s="13">
        <f>SUM(F53-G53)</f>
        <v>0</v>
      </c>
      <c r="I53" s="12"/>
      <c r="J53" s="13"/>
      <c r="K53" s="13">
        <f>SUM(I53-J53)</f>
        <v>0</v>
      </c>
      <c r="L53" s="12"/>
      <c r="M53" s="13"/>
      <c r="N53" s="13">
        <f>SUM(L53-M53)</f>
        <v>0</v>
      </c>
      <c r="O53" s="12"/>
      <c r="P53" s="13"/>
      <c r="Q53" s="13">
        <f>SUM(O53-P53)</f>
        <v>0</v>
      </c>
      <c r="R53" s="12"/>
      <c r="S53" s="13"/>
      <c r="T53" s="13">
        <f>SUM(R53-S53)</f>
        <v>0</v>
      </c>
      <c r="U53" s="12"/>
      <c r="V53" s="13"/>
      <c r="W53" s="13">
        <f>SUM(U53-V53)</f>
        <v>0</v>
      </c>
      <c r="X53" s="12"/>
      <c r="Y53" s="13"/>
      <c r="Z53" s="13">
        <f>SUM(X53-Y53)</f>
        <v>0</v>
      </c>
      <c r="AA53" s="12"/>
      <c r="AB53" s="13"/>
      <c r="AC53" s="13">
        <f>SUM(AA53-AB53)</f>
        <v>0</v>
      </c>
      <c r="AD53" s="12"/>
      <c r="AE53" s="13"/>
      <c r="AF53" s="13">
        <f>SUM(AD53-AE53)</f>
        <v>0</v>
      </c>
      <c r="AG53" s="12"/>
      <c r="AH53" s="13"/>
      <c r="AI53" s="13">
        <f>SUM(AG53-AH53)</f>
        <v>0</v>
      </c>
      <c r="AJ53" s="12"/>
      <c r="AK53" s="13"/>
      <c r="AL53" s="13">
        <f>SUM(AJ53-AK53)</f>
        <v>0</v>
      </c>
      <c r="AM53" s="12">
        <f t="shared" si="47"/>
        <v>0</v>
      </c>
      <c r="AN53" s="13">
        <f t="shared" si="48"/>
        <v>0</v>
      </c>
      <c r="AO53" s="13">
        <f t="shared" si="49"/>
        <v>0</v>
      </c>
      <c r="AP53" s="11"/>
    </row>
    <row r="54" spans="2:42" x14ac:dyDescent="0.25">
      <c r="B54" s="4"/>
      <c r="C54" s="12"/>
      <c r="D54" s="13"/>
      <c r="E54" s="13">
        <f>SUM(C54-D54)</f>
        <v>0</v>
      </c>
      <c r="F54" s="12"/>
      <c r="G54" s="13"/>
      <c r="H54" s="13">
        <f>SUM(F54-G54)</f>
        <v>0</v>
      </c>
      <c r="I54" s="12"/>
      <c r="J54" s="13"/>
      <c r="K54" s="13">
        <f>SUM(I54-J54)</f>
        <v>0</v>
      </c>
      <c r="L54" s="12"/>
      <c r="M54" s="13"/>
      <c r="N54" s="13">
        <f>SUM(L54-M54)</f>
        <v>0</v>
      </c>
      <c r="O54" s="12"/>
      <c r="P54" s="13"/>
      <c r="Q54" s="13">
        <f>SUM(O54-P54)</f>
        <v>0</v>
      </c>
      <c r="R54" s="12"/>
      <c r="S54" s="13"/>
      <c r="T54" s="13">
        <f>SUM(R54-S54)</f>
        <v>0</v>
      </c>
      <c r="U54" s="12"/>
      <c r="V54" s="13"/>
      <c r="W54" s="13">
        <f>SUM(U54-V54)</f>
        <v>0</v>
      </c>
      <c r="X54" s="12"/>
      <c r="Y54" s="13"/>
      <c r="Z54" s="13">
        <f>SUM(X54-Y54)</f>
        <v>0</v>
      </c>
      <c r="AA54" s="12"/>
      <c r="AB54" s="13"/>
      <c r="AC54" s="13">
        <f>SUM(AA54-AB54)</f>
        <v>0</v>
      </c>
      <c r="AD54" s="12"/>
      <c r="AE54" s="13"/>
      <c r="AF54" s="13">
        <f>SUM(AD54-AE54)</f>
        <v>0</v>
      </c>
      <c r="AG54" s="12"/>
      <c r="AH54" s="13"/>
      <c r="AI54" s="13">
        <f>SUM(AG54-AH54)</f>
        <v>0</v>
      </c>
      <c r="AJ54" s="12"/>
      <c r="AK54" s="13"/>
      <c r="AL54" s="13">
        <f>SUM(AJ54-AK54)</f>
        <v>0</v>
      </c>
      <c r="AM54" s="12">
        <f t="shared" si="47"/>
        <v>0</v>
      </c>
      <c r="AN54" s="13">
        <f t="shared" si="48"/>
        <v>0</v>
      </c>
      <c r="AO54" s="13">
        <f t="shared" si="49"/>
        <v>0</v>
      </c>
      <c r="AP54" s="11"/>
    </row>
    <row r="55" spans="2:42" s="1" customFormat="1" x14ac:dyDescent="0.25">
      <c r="B55" s="21" t="s">
        <v>171</v>
      </c>
      <c r="C55" s="14">
        <f t="shared" ref="C55:AL55" si="86">SUM(C19:C54)</f>
        <v>4922.5</v>
      </c>
      <c r="D55" s="15">
        <f t="shared" si="86"/>
        <v>5517.1999999999989</v>
      </c>
      <c r="E55" s="15">
        <f t="shared" si="86"/>
        <v>-594.70000000000016</v>
      </c>
      <c r="F55" s="14">
        <f t="shared" si="86"/>
        <v>5199</v>
      </c>
      <c r="G55" s="15">
        <f t="shared" si="86"/>
        <v>7151.34</v>
      </c>
      <c r="H55" s="15">
        <f t="shared" si="86"/>
        <v>-1952.3399999999997</v>
      </c>
      <c r="I55" s="14">
        <f t="shared" si="86"/>
        <v>5593</v>
      </c>
      <c r="J55" s="15">
        <f t="shared" si="86"/>
        <v>6758.4400000000005</v>
      </c>
      <c r="K55" s="15">
        <f t="shared" si="86"/>
        <v>-1165.4399999999998</v>
      </c>
      <c r="L55" s="14">
        <f t="shared" si="86"/>
        <v>5091.5</v>
      </c>
      <c r="M55" s="15">
        <f t="shared" si="86"/>
        <v>5100.63</v>
      </c>
      <c r="N55" s="15">
        <f t="shared" si="86"/>
        <v>-9.1299999999999955</v>
      </c>
      <c r="O55" s="14">
        <f t="shared" si="86"/>
        <v>4618</v>
      </c>
      <c r="P55" s="15">
        <f t="shared" si="86"/>
        <v>3737.97</v>
      </c>
      <c r="Q55" s="15">
        <f t="shared" si="86"/>
        <v>880.02999999999986</v>
      </c>
      <c r="R55" s="14">
        <f t="shared" si="86"/>
        <v>5843</v>
      </c>
      <c r="S55" s="15">
        <f t="shared" si="86"/>
        <v>9242.880000000001</v>
      </c>
      <c r="T55" s="15">
        <f t="shared" si="86"/>
        <v>-3399.8799999999997</v>
      </c>
      <c r="U55" s="14">
        <f t="shared" si="86"/>
        <v>4941.5</v>
      </c>
      <c r="V55" s="15">
        <f t="shared" si="86"/>
        <v>5239.5399999999991</v>
      </c>
      <c r="W55" s="15">
        <f t="shared" si="86"/>
        <v>-298.04000000000008</v>
      </c>
      <c r="X55" s="14">
        <f t="shared" si="86"/>
        <v>4518</v>
      </c>
      <c r="Y55" s="15">
        <f t="shared" si="86"/>
        <v>4747.99</v>
      </c>
      <c r="Z55" s="15">
        <f t="shared" si="86"/>
        <v>-229.99</v>
      </c>
      <c r="AA55" s="14">
        <f t="shared" si="86"/>
        <v>6243</v>
      </c>
      <c r="AB55" s="15">
        <f t="shared" si="86"/>
        <v>5789.64</v>
      </c>
      <c r="AC55" s="15">
        <f t="shared" si="86"/>
        <v>453.3599999999999</v>
      </c>
      <c r="AD55" s="14">
        <f t="shared" si="86"/>
        <v>5700.5</v>
      </c>
      <c r="AE55" s="15">
        <f t="shared" si="86"/>
        <v>5912.44</v>
      </c>
      <c r="AF55" s="15">
        <f t="shared" si="86"/>
        <v>-211.93999999999994</v>
      </c>
      <c r="AG55" s="14">
        <f t="shared" si="86"/>
        <v>5451</v>
      </c>
      <c r="AH55" s="15">
        <f t="shared" si="86"/>
        <v>3911.71</v>
      </c>
      <c r="AI55" s="15">
        <f t="shared" si="86"/>
        <v>1539.29</v>
      </c>
      <c r="AJ55" s="14">
        <f t="shared" si="86"/>
        <v>5873</v>
      </c>
      <c r="AK55" s="15">
        <f t="shared" si="86"/>
        <v>6451.32</v>
      </c>
      <c r="AL55" s="15">
        <f t="shared" si="86"/>
        <v>-578.31999999999994</v>
      </c>
      <c r="AM55" s="12">
        <f t="shared" si="47"/>
        <v>63994</v>
      </c>
      <c r="AN55" s="13">
        <f t="shared" si="48"/>
        <v>69561.100000000006</v>
      </c>
      <c r="AO55" s="13">
        <f t="shared" si="49"/>
        <v>-5567.0999999999985</v>
      </c>
      <c r="AP55" s="16"/>
    </row>
    <row r="56" spans="2:42" s="1" customFormat="1" x14ac:dyDescent="0.25">
      <c r="B56" s="22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</row>
    <row r="57" spans="2:42" s="1" customFormat="1" x14ac:dyDescent="0.25">
      <c r="B57" s="2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2:42" x14ac:dyDescent="0.25">
      <c r="B58" t="s">
        <v>27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2:42" x14ac:dyDescent="0.25">
      <c r="B59" s="4"/>
      <c r="C59" s="12"/>
      <c r="D59" s="13"/>
      <c r="E59" s="13">
        <f t="shared" ref="E59:E72" si="87">SUM(C59-D59)</f>
        <v>0</v>
      </c>
      <c r="F59" s="12"/>
      <c r="G59" s="13"/>
      <c r="H59" s="13">
        <f>SUM(F59-G59)</f>
        <v>0</v>
      </c>
      <c r="I59" s="12"/>
      <c r="J59" s="13"/>
      <c r="K59" s="13">
        <f>SUM(I59-J59)</f>
        <v>0</v>
      </c>
      <c r="L59" s="12"/>
      <c r="M59" s="13"/>
      <c r="N59" s="13">
        <f t="shared" ref="N59:N64" si="88">SUM(L59-M59)</f>
        <v>0</v>
      </c>
      <c r="O59" s="12"/>
      <c r="P59" s="13"/>
      <c r="Q59" s="13">
        <f t="shared" ref="Q59:Q74" si="89">SUM(O59-P59)</f>
        <v>0</v>
      </c>
      <c r="R59" s="12"/>
      <c r="S59" s="13"/>
      <c r="T59" s="13">
        <f>SUM(R59-S59)</f>
        <v>0</v>
      </c>
      <c r="U59" s="12"/>
      <c r="V59" s="13"/>
      <c r="W59" s="13">
        <f>SUM(U59-V59)</f>
        <v>0</v>
      </c>
      <c r="X59" s="12"/>
      <c r="Y59" s="13"/>
      <c r="Z59" s="13">
        <f>SUM(X59-Y59)</f>
        <v>0</v>
      </c>
      <c r="AA59" s="12"/>
      <c r="AB59" s="13"/>
      <c r="AC59" s="13">
        <f>SUM(AA59-AB59)</f>
        <v>0</v>
      </c>
      <c r="AD59" s="12"/>
      <c r="AE59" s="13"/>
      <c r="AF59" s="13">
        <f>SUM(AD59-AE59)</f>
        <v>0</v>
      </c>
      <c r="AG59" s="12"/>
      <c r="AH59" s="13"/>
      <c r="AI59" s="13">
        <f>SUM(AG59-AH59)</f>
        <v>0</v>
      </c>
      <c r="AJ59" s="12"/>
      <c r="AK59" s="13"/>
      <c r="AL59" s="13">
        <f>SUM(AJ59-AK59)</f>
        <v>0</v>
      </c>
      <c r="AM59" s="12">
        <f t="shared" ref="AM59:AM75" si="90">C59+F59+I59+L59+O59+R59+U59+X59+AA59+AD59+AG59+AJ59</f>
        <v>0</v>
      </c>
      <c r="AN59" s="13">
        <f t="shared" ref="AN59:AN75" si="91">D59+G59+J59+M59+P59+S59+V59+Y59+AB59+AE59+AH59+AK59</f>
        <v>0</v>
      </c>
      <c r="AO59" s="13">
        <f t="shared" ref="AO59:AO75" si="92">E59+H59+K59+N59+Q59+T59+W59+Z59+AC59+AF59+AI59+AL59</f>
        <v>0</v>
      </c>
      <c r="AP59" s="11"/>
    </row>
    <row r="60" spans="2:42" x14ac:dyDescent="0.25">
      <c r="B60" s="6" t="s">
        <v>243</v>
      </c>
      <c r="C60" s="12"/>
      <c r="D60" s="13"/>
      <c r="E60" s="13">
        <f t="shared" si="87"/>
        <v>0</v>
      </c>
      <c r="F60" s="12"/>
      <c r="G60" s="13"/>
      <c r="H60" s="13">
        <f>SUM(F60-G60)</f>
        <v>0</v>
      </c>
      <c r="I60" s="12"/>
      <c r="J60" s="13"/>
      <c r="K60" s="13">
        <f>SUM(I60-J60)</f>
        <v>0</v>
      </c>
      <c r="L60" s="12"/>
      <c r="M60" s="13"/>
      <c r="N60" s="13">
        <f t="shared" si="88"/>
        <v>0</v>
      </c>
      <c r="O60" s="12"/>
      <c r="P60" s="13"/>
      <c r="Q60" s="13">
        <f t="shared" si="89"/>
        <v>0</v>
      </c>
      <c r="R60" s="12"/>
      <c r="S60" s="13"/>
      <c r="T60" s="13">
        <f>SUM(R60-S60)</f>
        <v>0</v>
      </c>
      <c r="U60" s="12"/>
      <c r="V60" s="13"/>
      <c r="W60" s="13">
        <f>SUM(U60-V60)</f>
        <v>0</v>
      </c>
      <c r="X60" s="12"/>
      <c r="Y60" s="13"/>
      <c r="Z60" s="13">
        <f>SUM(X60-Y60)</f>
        <v>0</v>
      </c>
      <c r="AA60" s="12"/>
      <c r="AB60" s="13"/>
      <c r="AC60" s="13">
        <f>SUM(AA60-AB60)</f>
        <v>0</v>
      </c>
      <c r="AD60" s="12"/>
      <c r="AE60" s="13"/>
      <c r="AF60" s="13">
        <f>SUM(AD60-AE60)</f>
        <v>0</v>
      </c>
      <c r="AG60" s="12"/>
      <c r="AH60" s="13">
        <v>8439.07</v>
      </c>
      <c r="AI60" s="13">
        <f>SUM(AG60-AH60)</f>
        <v>-8439.07</v>
      </c>
      <c r="AJ60" s="12"/>
      <c r="AK60" s="13"/>
      <c r="AL60" s="13">
        <f>SUM(AJ60-AK60)</f>
        <v>0</v>
      </c>
      <c r="AM60" s="12">
        <f t="shared" si="90"/>
        <v>0</v>
      </c>
      <c r="AN60" s="13">
        <f t="shared" si="91"/>
        <v>8439.07</v>
      </c>
      <c r="AO60" s="13">
        <f t="shared" si="92"/>
        <v>-8439.07</v>
      </c>
      <c r="AP60" s="11"/>
    </row>
    <row r="61" spans="2:42" x14ac:dyDescent="0.25">
      <c r="B61" s="4" t="s">
        <v>35</v>
      </c>
      <c r="C61" s="12"/>
      <c r="D61" s="13"/>
      <c r="E61" s="13">
        <f t="shared" si="87"/>
        <v>0</v>
      </c>
      <c r="F61" s="12"/>
      <c r="G61" s="13"/>
      <c r="H61" s="13">
        <f t="shared" ref="H61:H74" si="93">SUM(F61-G61)</f>
        <v>0</v>
      </c>
      <c r="I61" s="12"/>
      <c r="J61" s="13"/>
      <c r="K61" s="13">
        <v>0</v>
      </c>
      <c r="L61" s="12"/>
      <c r="M61" s="13"/>
      <c r="N61" s="13">
        <f t="shared" si="88"/>
        <v>0</v>
      </c>
      <c r="O61" s="12"/>
      <c r="P61" s="13"/>
      <c r="Q61" s="13">
        <f t="shared" si="89"/>
        <v>0</v>
      </c>
      <c r="R61" s="12"/>
      <c r="S61" s="13"/>
      <c r="T61" s="13">
        <f t="shared" ref="T61:T73" si="94">SUM(R61-S61)</f>
        <v>0</v>
      </c>
      <c r="U61" s="12"/>
      <c r="V61" s="13"/>
      <c r="W61" s="13">
        <f t="shared" ref="W61:W73" si="95">SUM(U61-V61)</f>
        <v>0</v>
      </c>
      <c r="X61" s="12"/>
      <c r="Y61" s="13"/>
      <c r="Z61" s="13">
        <f t="shared" ref="Z61:Z73" si="96">SUM(X61-Y61)</f>
        <v>0</v>
      </c>
      <c r="AA61" s="12"/>
      <c r="AB61" s="13"/>
      <c r="AC61" s="13">
        <f t="shared" ref="AC61:AC73" si="97">SUM(AA61-AB61)</f>
        <v>0</v>
      </c>
      <c r="AD61" s="12"/>
      <c r="AE61" s="13"/>
      <c r="AF61" s="13">
        <f t="shared" ref="AF61:AF73" si="98">SUM(AD61-AE61)</f>
        <v>0</v>
      </c>
      <c r="AG61" s="12"/>
      <c r="AH61" s="13"/>
      <c r="AI61" s="13">
        <f t="shared" ref="AI61:AI73" si="99">SUM(AG61-AH61)</f>
        <v>0</v>
      </c>
      <c r="AJ61" s="12"/>
      <c r="AK61" s="13"/>
      <c r="AL61" s="13">
        <f t="shared" ref="AL61:AL73" si="100">SUM(AJ61-AK61)</f>
        <v>0</v>
      </c>
      <c r="AM61" s="12">
        <f t="shared" si="90"/>
        <v>0</v>
      </c>
      <c r="AN61" s="13">
        <f t="shared" si="91"/>
        <v>0</v>
      </c>
      <c r="AO61" s="13">
        <f t="shared" si="92"/>
        <v>0</v>
      </c>
      <c r="AP61" s="11"/>
    </row>
    <row r="62" spans="2:42" x14ac:dyDescent="0.25">
      <c r="B62" s="4" t="s">
        <v>65</v>
      </c>
      <c r="C62" s="12"/>
      <c r="D62" s="13"/>
      <c r="E62" s="13">
        <f t="shared" si="87"/>
        <v>0</v>
      </c>
      <c r="F62" s="12"/>
      <c r="G62" s="13"/>
      <c r="H62" s="13">
        <f t="shared" si="93"/>
        <v>0</v>
      </c>
      <c r="I62" s="12"/>
      <c r="J62" s="13"/>
      <c r="K62" s="13">
        <f>SUM(I62-J62)</f>
        <v>0</v>
      </c>
      <c r="L62" s="12"/>
      <c r="M62" s="13"/>
      <c r="N62" s="13">
        <f t="shared" si="88"/>
        <v>0</v>
      </c>
      <c r="O62" s="12"/>
      <c r="P62" s="13"/>
      <c r="Q62" s="13">
        <f t="shared" si="89"/>
        <v>0</v>
      </c>
      <c r="R62" s="12"/>
      <c r="S62" s="13"/>
      <c r="T62" s="13">
        <f t="shared" si="94"/>
        <v>0</v>
      </c>
      <c r="U62" s="12"/>
      <c r="V62" s="13"/>
      <c r="W62" s="13">
        <f t="shared" si="95"/>
        <v>0</v>
      </c>
      <c r="X62" s="12"/>
      <c r="Y62" s="13"/>
      <c r="Z62" s="13">
        <f t="shared" ref="Z62:Z65" si="101">SUM(X62-Y62)</f>
        <v>0</v>
      </c>
      <c r="AA62" s="12"/>
      <c r="AB62" s="13"/>
      <c r="AC62" s="13">
        <f t="shared" si="97"/>
        <v>0</v>
      </c>
      <c r="AD62" s="12"/>
      <c r="AE62" s="13"/>
      <c r="AF62" s="13">
        <f t="shared" si="98"/>
        <v>0</v>
      </c>
      <c r="AG62" s="12"/>
      <c r="AH62" s="13"/>
      <c r="AI62" s="13">
        <f t="shared" si="99"/>
        <v>0</v>
      </c>
      <c r="AJ62" s="12"/>
      <c r="AK62" s="13"/>
      <c r="AL62" s="13">
        <f t="shared" si="100"/>
        <v>0</v>
      </c>
      <c r="AM62" s="12">
        <f t="shared" si="90"/>
        <v>0</v>
      </c>
      <c r="AN62" s="13">
        <f t="shared" si="91"/>
        <v>0</v>
      </c>
      <c r="AO62" s="13">
        <f t="shared" si="92"/>
        <v>0</v>
      </c>
      <c r="AP62" s="11"/>
    </row>
    <row r="63" spans="2:42" x14ac:dyDescent="0.25">
      <c r="B63" s="6" t="s">
        <v>44</v>
      </c>
      <c r="C63" s="12"/>
      <c r="D63" s="13"/>
      <c r="E63" s="13">
        <f t="shared" si="87"/>
        <v>0</v>
      </c>
      <c r="F63" s="12"/>
      <c r="G63" s="13"/>
      <c r="H63" s="13">
        <f t="shared" si="93"/>
        <v>0</v>
      </c>
      <c r="I63" s="12"/>
      <c r="J63" s="13"/>
      <c r="K63" s="13">
        <f>SUM(I63-J63)</f>
        <v>0</v>
      </c>
      <c r="L63" s="12"/>
      <c r="M63" s="13"/>
      <c r="N63" s="13">
        <f t="shared" si="88"/>
        <v>0</v>
      </c>
      <c r="O63" s="12"/>
      <c r="P63" s="13"/>
      <c r="Q63" s="13">
        <f t="shared" si="89"/>
        <v>0</v>
      </c>
      <c r="R63" s="12"/>
      <c r="S63" s="13"/>
      <c r="T63" s="13">
        <f t="shared" si="94"/>
        <v>0</v>
      </c>
      <c r="U63" s="12"/>
      <c r="V63" s="13"/>
      <c r="W63" s="13">
        <f t="shared" si="95"/>
        <v>0</v>
      </c>
      <c r="X63" s="12"/>
      <c r="Y63" s="13"/>
      <c r="Z63" s="13">
        <f t="shared" si="101"/>
        <v>0</v>
      </c>
      <c r="AA63" s="12"/>
      <c r="AB63" s="13"/>
      <c r="AC63" s="13">
        <f t="shared" si="97"/>
        <v>0</v>
      </c>
      <c r="AD63" s="12"/>
      <c r="AE63" s="13"/>
      <c r="AF63" s="13">
        <f t="shared" si="98"/>
        <v>0</v>
      </c>
      <c r="AG63" s="12"/>
      <c r="AH63" s="13"/>
      <c r="AI63" s="13">
        <f t="shared" si="99"/>
        <v>0</v>
      </c>
      <c r="AJ63" s="12"/>
      <c r="AK63" s="13"/>
      <c r="AL63" s="13">
        <f t="shared" si="100"/>
        <v>0</v>
      </c>
      <c r="AM63" s="12">
        <f t="shared" si="90"/>
        <v>0</v>
      </c>
      <c r="AN63" s="13">
        <f t="shared" si="91"/>
        <v>0</v>
      </c>
      <c r="AO63" s="13">
        <f t="shared" si="92"/>
        <v>0</v>
      </c>
      <c r="AP63" s="11"/>
    </row>
    <row r="64" spans="2:42" x14ac:dyDescent="0.25">
      <c r="B64" s="4" t="s">
        <v>66</v>
      </c>
      <c r="C64" s="12"/>
      <c r="D64" s="13"/>
      <c r="E64" s="13">
        <f t="shared" si="87"/>
        <v>0</v>
      </c>
      <c r="F64" s="12"/>
      <c r="G64" s="13"/>
      <c r="H64" s="13">
        <f t="shared" si="93"/>
        <v>0</v>
      </c>
      <c r="I64" s="12"/>
      <c r="J64" s="13"/>
      <c r="K64" s="13">
        <f>SUM(I64-J64)</f>
        <v>0</v>
      </c>
      <c r="L64" s="12"/>
      <c r="M64" s="13"/>
      <c r="N64" s="13">
        <f t="shared" si="88"/>
        <v>0</v>
      </c>
      <c r="O64" s="12"/>
      <c r="P64" s="13"/>
      <c r="Q64" s="13">
        <f t="shared" si="89"/>
        <v>0</v>
      </c>
      <c r="R64" s="12"/>
      <c r="S64" s="13"/>
      <c r="T64" s="13">
        <f t="shared" si="94"/>
        <v>0</v>
      </c>
      <c r="U64" s="12"/>
      <c r="V64" s="13"/>
      <c r="W64" s="13">
        <f t="shared" si="95"/>
        <v>0</v>
      </c>
      <c r="X64" s="12"/>
      <c r="Y64" s="13"/>
      <c r="Z64" s="13">
        <f t="shared" si="101"/>
        <v>0</v>
      </c>
      <c r="AA64" s="12"/>
      <c r="AB64" s="13"/>
      <c r="AC64" s="13">
        <f t="shared" si="97"/>
        <v>0</v>
      </c>
      <c r="AD64" s="12"/>
      <c r="AE64" s="13"/>
      <c r="AF64" s="13">
        <f t="shared" si="98"/>
        <v>0</v>
      </c>
      <c r="AG64" s="12"/>
      <c r="AH64" s="13"/>
      <c r="AI64" s="13">
        <f t="shared" si="99"/>
        <v>0</v>
      </c>
      <c r="AJ64" s="12"/>
      <c r="AK64" s="13"/>
      <c r="AL64" s="13">
        <f t="shared" si="100"/>
        <v>0</v>
      </c>
      <c r="AM64" s="12">
        <f t="shared" si="90"/>
        <v>0</v>
      </c>
      <c r="AN64" s="13">
        <f t="shared" si="91"/>
        <v>0</v>
      </c>
      <c r="AO64" s="13">
        <f t="shared" si="92"/>
        <v>0</v>
      </c>
      <c r="AP64" s="37"/>
    </row>
    <row r="65" spans="2:42" x14ac:dyDescent="0.25">
      <c r="B65" s="4" t="s">
        <v>67</v>
      </c>
      <c r="C65" s="12"/>
      <c r="D65" s="13"/>
      <c r="E65" s="13">
        <f t="shared" si="87"/>
        <v>0</v>
      </c>
      <c r="F65" s="12"/>
      <c r="G65" s="13"/>
      <c r="H65" s="13">
        <f t="shared" si="93"/>
        <v>0</v>
      </c>
      <c r="I65" s="12"/>
      <c r="J65" s="13"/>
      <c r="K65" s="13">
        <f t="shared" ref="K65:K73" si="102">SUM(I65-J65)</f>
        <v>0</v>
      </c>
      <c r="L65" s="12"/>
      <c r="M65" s="13"/>
      <c r="N65" s="13">
        <f t="shared" ref="N65:N73" si="103">SUM(L65-M65)</f>
        <v>0</v>
      </c>
      <c r="O65" s="12"/>
      <c r="P65" s="13"/>
      <c r="Q65" s="13">
        <f t="shared" si="89"/>
        <v>0</v>
      </c>
      <c r="R65" s="12"/>
      <c r="S65" s="13"/>
      <c r="T65" s="13">
        <f t="shared" si="94"/>
        <v>0</v>
      </c>
      <c r="U65" s="12"/>
      <c r="V65" s="13"/>
      <c r="W65" s="13">
        <f t="shared" si="95"/>
        <v>0</v>
      </c>
      <c r="X65" s="12"/>
      <c r="Y65" s="13"/>
      <c r="Z65" s="13">
        <f t="shared" si="101"/>
        <v>0</v>
      </c>
      <c r="AA65" s="12"/>
      <c r="AB65" s="13"/>
      <c r="AC65" s="13">
        <f t="shared" si="97"/>
        <v>0</v>
      </c>
      <c r="AD65" s="12"/>
      <c r="AE65" s="13"/>
      <c r="AF65" s="13">
        <f t="shared" si="98"/>
        <v>0</v>
      </c>
      <c r="AG65" s="12"/>
      <c r="AH65" s="13"/>
      <c r="AI65" s="13">
        <f t="shared" si="99"/>
        <v>0</v>
      </c>
      <c r="AJ65" s="12"/>
      <c r="AK65" s="13"/>
      <c r="AL65" s="13">
        <f t="shared" si="100"/>
        <v>0</v>
      </c>
      <c r="AM65" s="12">
        <f t="shared" si="90"/>
        <v>0</v>
      </c>
      <c r="AN65" s="13">
        <f t="shared" si="91"/>
        <v>0</v>
      </c>
      <c r="AO65" s="13">
        <f t="shared" si="92"/>
        <v>0</v>
      </c>
      <c r="AP65" s="11"/>
    </row>
    <row r="66" spans="2:42" x14ac:dyDescent="0.25">
      <c r="B66" s="4" t="s">
        <v>68</v>
      </c>
      <c r="C66" s="12"/>
      <c r="D66" s="13"/>
      <c r="E66" s="13">
        <f t="shared" si="87"/>
        <v>0</v>
      </c>
      <c r="F66" s="12"/>
      <c r="G66" s="13"/>
      <c r="H66" s="13">
        <f t="shared" ref="H66:H71" si="104">SUM(F66-G66)</f>
        <v>0</v>
      </c>
      <c r="I66" s="12"/>
      <c r="J66" s="13"/>
      <c r="K66" s="13">
        <f t="shared" ref="K66:K71" si="105">SUM(I66-J66)</f>
        <v>0</v>
      </c>
      <c r="L66" s="12"/>
      <c r="M66" s="13"/>
      <c r="N66" s="13">
        <f t="shared" ref="N66:N71" si="106">SUM(L66-M66)</f>
        <v>0</v>
      </c>
      <c r="O66" s="12">
        <v>5000</v>
      </c>
      <c r="P66" s="13"/>
      <c r="Q66" s="13">
        <f t="shared" ref="Q66:Q71" si="107">SUM(O66-P66)</f>
        <v>5000</v>
      </c>
      <c r="R66" s="12"/>
      <c r="S66" s="13"/>
      <c r="T66" s="13">
        <f t="shared" ref="T66:T71" si="108">SUM(R66-S66)</f>
        <v>0</v>
      </c>
      <c r="U66" s="12"/>
      <c r="V66" s="13"/>
      <c r="W66" s="13">
        <f t="shared" ref="W66:W71" si="109">SUM(U66-V66)</f>
        <v>0</v>
      </c>
      <c r="X66" s="12"/>
      <c r="Y66" s="13"/>
      <c r="Z66" s="13">
        <f t="shared" ref="Z66:Z71" si="110">SUM(X66-Y66)</f>
        <v>0</v>
      </c>
      <c r="AA66" s="12"/>
      <c r="AB66" s="13"/>
      <c r="AC66" s="13">
        <f t="shared" ref="AC66:AC71" si="111">SUM(AA66-AB66)</f>
        <v>0</v>
      </c>
      <c r="AD66" s="12"/>
      <c r="AE66" s="13"/>
      <c r="AF66" s="13">
        <f t="shared" ref="AF66:AF71" si="112">SUM(AD66-AE66)</f>
        <v>0</v>
      </c>
      <c r="AG66" s="12"/>
      <c r="AH66" s="13"/>
      <c r="AI66" s="13">
        <f t="shared" ref="AI66:AI71" si="113">SUM(AG66-AH66)</f>
        <v>0</v>
      </c>
      <c r="AJ66" s="12">
        <v>10000</v>
      </c>
      <c r="AK66" s="13"/>
      <c r="AL66" s="13">
        <f t="shared" ref="AL66:AL71" si="114">SUM(AJ66-AK66)</f>
        <v>10000</v>
      </c>
      <c r="AM66" s="12">
        <f t="shared" si="90"/>
        <v>15000</v>
      </c>
      <c r="AN66" s="13">
        <f t="shared" si="91"/>
        <v>0</v>
      </c>
      <c r="AO66" s="13">
        <f t="shared" si="92"/>
        <v>15000</v>
      </c>
      <c r="AP66" s="11"/>
    </row>
    <row r="67" spans="2:42" x14ac:dyDescent="0.25">
      <c r="B67" s="4" t="s">
        <v>69</v>
      </c>
      <c r="C67" s="12"/>
      <c r="D67" s="13"/>
      <c r="E67" s="13">
        <f t="shared" si="87"/>
        <v>0</v>
      </c>
      <c r="F67" s="12"/>
      <c r="G67" s="13"/>
      <c r="H67" s="13">
        <f t="shared" si="104"/>
        <v>0</v>
      </c>
      <c r="I67" s="12"/>
      <c r="J67" s="13"/>
      <c r="K67" s="13">
        <f t="shared" si="105"/>
        <v>0</v>
      </c>
      <c r="L67" s="12"/>
      <c r="M67" s="13"/>
      <c r="N67" s="13">
        <f t="shared" si="106"/>
        <v>0</v>
      </c>
      <c r="O67" s="12"/>
      <c r="P67" s="13"/>
      <c r="Q67" s="13">
        <f t="shared" si="107"/>
        <v>0</v>
      </c>
      <c r="R67" s="12"/>
      <c r="S67" s="13"/>
      <c r="T67" s="13">
        <f t="shared" si="108"/>
        <v>0</v>
      </c>
      <c r="U67" s="12"/>
      <c r="V67" s="13"/>
      <c r="W67" s="13">
        <f t="shared" si="109"/>
        <v>0</v>
      </c>
      <c r="X67" s="12"/>
      <c r="Y67" s="13"/>
      <c r="Z67" s="13">
        <f t="shared" si="110"/>
        <v>0</v>
      </c>
      <c r="AA67" s="12"/>
      <c r="AB67" s="13"/>
      <c r="AC67" s="13">
        <f t="shared" si="111"/>
        <v>0</v>
      </c>
      <c r="AD67" s="12"/>
      <c r="AE67" s="13"/>
      <c r="AF67" s="13">
        <f t="shared" si="112"/>
        <v>0</v>
      </c>
      <c r="AG67" s="12"/>
      <c r="AH67" s="13"/>
      <c r="AI67" s="13">
        <f t="shared" si="113"/>
        <v>0</v>
      </c>
      <c r="AJ67" s="12">
        <v>5000</v>
      </c>
      <c r="AK67" s="13"/>
      <c r="AL67" s="13">
        <f t="shared" si="114"/>
        <v>5000</v>
      </c>
      <c r="AM67" s="12">
        <f t="shared" si="90"/>
        <v>5000</v>
      </c>
      <c r="AN67" s="13">
        <f t="shared" si="91"/>
        <v>0</v>
      </c>
      <c r="AO67" s="13">
        <f t="shared" si="92"/>
        <v>5000</v>
      </c>
      <c r="AP67" s="11"/>
    </row>
    <row r="68" spans="2:42" x14ac:dyDescent="0.25">
      <c r="B68" s="4" t="s">
        <v>72</v>
      </c>
      <c r="C68" s="12"/>
      <c r="D68" s="13"/>
      <c r="E68" s="13">
        <f t="shared" si="87"/>
        <v>0</v>
      </c>
      <c r="F68" s="12"/>
      <c r="G68" s="13"/>
      <c r="H68" s="13">
        <f t="shared" si="104"/>
        <v>0</v>
      </c>
      <c r="I68" s="12"/>
      <c r="J68" s="13"/>
      <c r="K68" s="13">
        <f t="shared" si="105"/>
        <v>0</v>
      </c>
      <c r="L68" s="12"/>
      <c r="M68" s="13"/>
      <c r="N68" s="13">
        <f t="shared" si="106"/>
        <v>0</v>
      </c>
      <c r="O68" s="12"/>
      <c r="P68" s="13"/>
      <c r="Q68" s="13">
        <f t="shared" si="107"/>
        <v>0</v>
      </c>
      <c r="R68" s="12"/>
      <c r="S68" s="13"/>
      <c r="T68" s="13">
        <f t="shared" si="108"/>
        <v>0</v>
      </c>
      <c r="U68" s="12"/>
      <c r="V68" s="13"/>
      <c r="W68" s="13">
        <f t="shared" si="109"/>
        <v>0</v>
      </c>
      <c r="X68" s="12"/>
      <c r="Y68" s="13"/>
      <c r="Z68" s="13">
        <f t="shared" si="110"/>
        <v>0</v>
      </c>
      <c r="AA68" s="12"/>
      <c r="AB68" s="13"/>
      <c r="AC68" s="13">
        <f t="shared" si="111"/>
        <v>0</v>
      </c>
      <c r="AD68" s="12"/>
      <c r="AE68" s="13"/>
      <c r="AF68" s="13">
        <f t="shared" si="112"/>
        <v>0</v>
      </c>
      <c r="AG68" s="12"/>
      <c r="AH68" s="13"/>
      <c r="AI68" s="13">
        <f t="shared" si="113"/>
        <v>0</v>
      </c>
      <c r="AJ68" s="12"/>
      <c r="AK68" s="13"/>
      <c r="AL68" s="13">
        <f t="shared" si="114"/>
        <v>0</v>
      </c>
      <c r="AM68" s="12">
        <f t="shared" si="90"/>
        <v>0</v>
      </c>
      <c r="AN68" s="13">
        <f t="shared" si="91"/>
        <v>0</v>
      </c>
      <c r="AO68" s="13">
        <f t="shared" si="92"/>
        <v>0</v>
      </c>
      <c r="AP68" s="11"/>
    </row>
    <row r="69" spans="2:42" x14ac:dyDescent="0.25">
      <c r="B69" s="4" t="s">
        <v>106</v>
      </c>
      <c r="C69" s="12"/>
      <c r="D69" s="13"/>
      <c r="E69" s="13">
        <f t="shared" si="87"/>
        <v>0</v>
      </c>
      <c r="F69" s="12"/>
      <c r="G69" s="13"/>
      <c r="H69" s="13">
        <f t="shared" si="104"/>
        <v>0</v>
      </c>
      <c r="I69" s="12"/>
      <c r="J69" s="13"/>
      <c r="K69" s="13">
        <f t="shared" si="105"/>
        <v>0</v>
      </c>
      <c r="L69" s="12"/>
      <c r="M69" s="13"/>
      <c r="N69" s="13">
        <f t="shared" si="106"/>
        <v>0</v>
      </c>
      <c r="O69" s="12"/>
      <c r="P69" s="13"/>
      <c r="Q69" s="13">
        <f t="shared" si="107"/>
        <v>0</v>
      </c>
      <c r="R69" s="12"/>
      <c r="S69" s="13"/>
      <c r="T69" s="13">
        <f t="shared" si="108"/>
        <v>0</v>
      </c>
      <c r="U69" s="12"/>
      <c r="V69" s="13"/>
      <c r="W69" s="13">
        <f t="shared" si="109"/>
        <v>0</v>
      </c>
      <c r="X69" s="12"/>
      <c r="Y69" s="13"/>
      <c r="Z69" s="13">
        <f t="shared" si="110"/>
        <v>0</v>
      </c>
      <c r="AA69" s="12"/>
      <c r="AB69" s="13"/>
      <c r="AC69" s="13">
        <f t="shared" si="111"/>
        <v>0</v>
      </c>
      <c r="AD69" s="12"/>
      <c r="AE69" s="13"/>
      <c r="AF69" s="13">
        <f t="shared" si="112"/>
        <v>0</v>
      </c>
      <c r="AG69" s="12"/>
      <c r="AH69" s="13"/>
      <c r="AI69" s="13">
        <f t="shared" si="113"/>
        <v>0</v>
      </c>
      <c r="AJ69" s="12"/>
      <c r="AK69" s="13"/>
      <c r="AL69" s="13">
        <f t="shared" si="114"/>
        <v>0</v>
      </c>
      <c r="AM69" s="12">
        <f t="shared" si="90"/>
        <v>0</v>
      </c>
      <c r="AN69" s="13">
        <f t="shared" si="91"/>
        <v>0</v>
      </c>
      <c r="AO69" s="13">
        <f t="shared" si="92"/>
        <v>0</v>
      </c>
      <c r="AP69" s="11"/>
    </row>
    <row r="70" spans="2:42" x14ac:dyDescent="0.25">
      <c r="B70" s="4" t="s">
        <v>181</v>
      </c>
      <c r="C70" s="12"/>
      <c r="D70" s="13"/>
      <c r="E70" s="13">
        <f t="shared" si="87"/>
        <v>0</v>
      </c>
      <c r="F70" s="12"/>
      <c r="G70" s="13"/>
      <c r="H70" s="13">
        <f t="shared" si="104"/>
        <v>0</v>
      </c>
      <c r="I70" s="12"/>
      <c r="J70" s="13"/>
      <c r="K70" s="13">
        <f t="shared" si="105"/>
        <v>0</v>
      </c>
      <c r="L70" s="12"/>
      <c r="M70" s="13"/>
      <c r="N70" s="13">
        <f t="shared" si="106"/>
        <v>0</v>
      </c>
      <c r="O70" s="12"/>
      <c r="P70" s="13"/>
      <c r="Q70" s="13">
        <f t="shared" si="107"/>
        <v>0</v>
      </c>
      <c r="R70" s="12"/>
      <c r="S70" s="13"/>
      <c r="T70" s="13">
        <f t="shared" si="108"/>
        <v>0</v>
      </c>
      <c r="U70" s="12"/>
      <c r="V70" s="13"/>
      <c r="W70" s="13">
        <f t="shared" si="109"/>
        <v>0</v>
      </c>
      <c r="X70" s="12"/>
      <c r="Y70" s="13"/>
      <c r="Z70" s="13">
        <f t="shared" si="110"/>
        <v>0</v>
      </c>
      <c r="AA70" s="12"/>
      <c r="AB70" s="13"/>
      <c r="AC70" s="13">
        <f t="shared" si="111"/>
        <v>0</v>
      </c>
      <c r="AD70" s="12"/>
      <c r="AE70" s="13"/>
      <c r="AF70" s="13">
        <f t="shared" si="112"/>
        <v>0</v>
      </c>
      <c r="AG70" s="12"/>
      <c r="AH70" s="13"/>
      <c r="AI70" s="13">
        <f t="shared" si="113"/>
        <v>0</v>
      </c>
      <c r="AJ70" s="12">
        <v>20000</v>
      </c>
      <c r="AK70" s="13"/>
      <c r="AL70" s="13">
        <f t="shared" si="114"/>
        <v>20000</v>
      </c>
      <c r="AM70" s="12">
        <f t="shared" si="90"/>
        <v>20000</v>
      </c>
      <c r="AN70" s="13">
        <f t="shared" si="91"/>
        <v>0</v>
      </c>
      <c r="AO70" s="13">
        <f t="shared" si="92"/>
        <v>20000</v>
      </c>
      <c r="AP70" s="11"/>
    </row>
    <row r="71" spans="2:42" x14ac:dyDescent="0.25">
      <c r="B71" s="4"/>
      <c r="C71" s="12"/>
      <c r="D71" s="13"/>
      <c r="E71" s="13">
        <f t="shared" si="87"/>
        <v>0</v>
      </c>
      <c r="F71" s="12"/>
      <c r="G71" s="13"/>
      <c r="H71" s="13">
        <f t="shared" si="104"/>
        <v>0</v>
      </c>
      <c r="I71" s="12"/>
      <c r="J71" s="13"/>
      <c r="K71" s="13">
        <f t="shared" si="105"/>
        <v>0</v>
      </c>
      <c r="L71" s="12"/>
      <c r="M71" s="13"/>
      <c r="N71" s="13">
        <f t="shared" si="106"/>
        <v>0</v>
      </c>
      <c r="O71" s="12"/>
      <c r="P71" s="13"/>
      <c r="Q71" s="13">
        <f t="shared" si="107"/>
        <v>0</v>
      </c>
      <c r="R71" s="12"/>
      <c r="S71" s="13"/>
      <c r="T71" s="13">
        <f t="shared" si="108"/>
        <v>0</v>
      </c>
      <c r="U71" s="12"/>
      <c r="V71" s="13"/>
      <c r="W71" s="13">
        <f t="shared" si="109"/>
        <v>0</v>
      </c>
      <c r="X71" s="12"/>
      <c r="Y71" s="13"/>
      <c r="Z71" s="13">
        <f t="shared" si="110"/>
        <v>0</v>
      </c>
      <c r="AA71" s="12"/>
      <c r="AB71" s="13"/>
      <c r="AC71" s="13">
        <f t="shared" si="111"/>
        <v>0</v>
      </c>
      <c r="AD71" s="12"/>
      <c r="AE71" s="13"/>
      <c r="AF71" s="13">
        <f t="shared" si="112"/>
        <v>0</v>
      </c>
      <c r="AG71" s="12"/>
      <c r="AH71" s="13"/>
      <c r="AI71" s="13">
        <f t="shared" si="113"/>
        <v>0</v>
      </c>
      <c r="AJ71" s="12"/>
      <c r="AK71" s="13"/>
      <c r="AL71" s="13">
        <f t="shared" si="114"/>
        <v>0</v>
      </c>
      <c r="AM71" s="12">
        <f t="shared" si="90"/>
        <v>0</v>
      </c>
      <c r="AN71" s="13">
        <f t="shared" si="91"/>
        <v>0</v>
      </c>
      <c r="AO71" s="13">
        <f t="shared" si="92"/>
        <v>0</v>
      </c>
      <c r="AP71" s="11"/>
    </row>
    <row r="72" spans="2:42" x14ac:dyDescent="0.25">
      <c r="B72" s="4"/>
      <c r="C72" s="12"/>
      <c r="D72" s="13"/>
      <c r="E72" s="13">
        <f t="shared" si="87"/>
        <v>0</v>
      </c>
      <c r="F72" s="12"/>
      <c r="G72" s="13"/>
      <c r="H72" s="13">
        <f t="shared" si="93"/>
        <v>0</v>
      </c>
      <c r="I72" s="12"/>
      <c r="J72" s="13"/>
      <c r="K72" s="13">
        <f t="shared" si="102"/>
        <v>0</v>
      </c>
      <c r="L72" s="12"/>
      <c r="M72" s="13"/>
      <c r="N72" s="13">
        <f t="shared" si="103"/>
        <v>0</v>
      </c>
      <c r="O72" s="12"/>
      <c r="P72" s="13"/>
      <c r="Q72" s="13">
        <f t="shared" si="89"/>
        <v>0</v>
      </c>
      <c r="R72" s="12"/>
      <c r="S72" s="13"/>
      <c r="T72" s="13">
        <f t="shared" si="94"/>
        <v>0</v>
      </c>
      <c r="U72" s="12"/>
      <c r="V72" s="13"/>
      <c r="W72" s="13">
        <f t="shared" si="95"/>
        <v>0</v>
      </c>
      <c r="X72" s="12"/>
      <c r="Y72" s="13"/>
      <c r="Z72" s="13">
        <f t="shared" si="96"/>
        <v>0</v>
      </c>
      <c r="AA72" s="12"/>
      <c r="AB72" s="13"/>
      <c r="AC72" s="13">
        <f t="shared" si="97"/>
        <v>0</v>
      </c>
      <c r="AD72" s="12"/>
      <c r="AE72" s="13"/>
      <c r="AF72" s="13">
        <f t="shared" si="98"/>
        <v>0</v>
      </c>
      <c r="AG72" s="12"/>
      <c r="AH72" s="13"/>
      <c r="AI72" s="13">
        <f t="shared" si="99"/>
        <v>0</v>
      </c>
      <c r="AJ72" s="12"/>
      <c r="AK72" s="13"/>
      <c r="AL72" s="13">
        <f t="shared" si="100"/>
        <v>0</v>
      </c>
      <c r="AM72" s="12">
        <f t="shared" si="90"/>
        <v>0</v>
      </c>
      <c r="AN72" s="13">
        <f t="shared" si="91"/>
        <v>0</v>
      </c>
      <c r="AO72" s="13">
        <f t="shared" si="92"/>
        <v>0</v>
      </c>
      <c r="AP72" s="11"/>
    </row>
    <row r="73" spans="2:42" x14ac:dyDescent="0.25">
      <c r="B73" s="4"/>
      <c r="C73" s="12"/>
      <c r="D73" s="13"/>
      <c r="E73" s="13">
        <f t="shared" ref="E73" si="115">SUM(C73-D73)</f>
        <v>0</v>
      </c>
      <c r="F73" s="12"/>
      <c r="G73" s="13"/>
      <c r="H73" s="13">
        <f t="shared" si="93"/>
        <v>0</v>
      </c>
      <c r="I73" s="12"/>
      <c r="J73" s="13"/>
      <c r="K73" s="13">
        <f t="shared" si="102"/>
        <v>0</v>
      </c>
      <c r="L73" s="12"/>
      <c r="M73" s="13"/>
      <c r="N73" s="13">
        <f t="shared" si="103"/>
        <v>0</v>
      </c>
      <c r="O73" s="12"/>
      <c r="P73" s="13"/>
      <c r="Q73" s="13">
        <f t="shared" si="89"/>
        <v>0</v>
      </c>
      <c r="R73" s="12"/>
      <c r="S73" s="13"/>
      <c r="T73" s="13">
        <f t="shared" si="94"/>
        <v>0</v>
      </c>
      <c r="U73" s="12"/>
      <c r="V73" s="13"/>
      <c r="W73" s="13">
        <f t="shared" si="95"/>
        <v>0</v>
      </c>
      <c r="X73" s="12"/>
      <c r="Y73" s="13"/>
      <c r="Z73" s="13">
        <f t="shared" si="96"/>
        <v>0</v>
      </c>
      <c r="AA73" s="12"/>
      <c r="AB73" s="13"/>
      <c r="AC73" s="13">
        <f t="shared" si="97"/>
        <v>0</v>
      </c>
      <c r="AD73" s="12"/>
      <c r="AE73" s="13"/>
      <c r="AF73" s="13">
        <f t="shared" si="98"/>
        <v>0</v>
      </c>
      <c r="AG73" s="12"/>
      <c r="AH73" s="13"/>
      <c r="AI73" s="13">
        <f t="shared" si="99"/>
        <v>0</v>
      </c>
      <c r="AJ73" s="12"/>
      <c r="AK73" s="13"/>
      <c r="AL73" s="13">
        <f t="shared" si="100"/>
        <v>0</v>
      </c>
      <c r="AM73" s="12">
        <f t="shared" si="90"/>
        <v>0</v>
      </c>
      <c r="AN73" s="13">
        <f t="shared" si="91"/>
        <v>0</v>
      </c>
      <c r="AO73" s="13">
        <f t="shared" si="92"/>
        <v>0</v>
      </c>
      <c r="AP73" s="11"/>
    </row>
    <row r="74" spans="2:42" x14ac:dyDescent="0.25">
      <c r="B74" s="4" t="s">
        <v>53</v>
      </c>
      <c r="C74" s="12"/>
      <c r="D74" s="13"/>
      <c r="E74" s="13">
        <f>SUM(C74-D74)</f>
        <v>0</v>
      </c>
      <c r="F74" s="12"/>
      <c r="G74" s="13"/>
      <c r="H74" s="13">
        <f t="shared" si="93"/>
        <v>0</v>
      </c>
      <c r="I74" s="12"/>
      <c r="J74" s="13"/>
      <c r="K74" s="13">
        <f>SUM(I74-J74)</f>
        <v>0</v>
      </c>
      <c r="L74" s="12"/>
      <c r="M74" s="13"/>
      <c r="N74" s="13">
        <f>SUM(L74-M74)</f>
        <v>0</v>
      </c>
      <c r="O74" s="12"/>
      <c r="P74" s="13"/>
      <c r="Q74" s="13">
        <f t="shared" si="89"/>
        <v>0</v>
      </c>
      <c r="R74" s="12"/>
      <c r="S74" s="13"/>
      <c r="T74" s="13">
        <f>SUM(R74-S74)</f>
        <v>0</v>
      </c>
      <c r="U74" s="12"/>
      <c r="V74" s="13"/>
      <c r="W74" s="13">
        <v>0</v>
      </c>
      <c r="X74" s="12"/>
      <c r="Y74" s="13"/>
      <c r="Z74" s="13"/>
      <c r="AA74" s="12"/>
      <c r="AB74" s="13"/>
      <c r="AC74" s="13">
        <f>SUM(AA74-AB74)</f>
        <v>0</v>
      </c>
      <c r="AD74" s="12"/>
      <c r="AE74" s="13"/>
      <c r="AF74" s="13">
        <f>SUM(AD74-AE74)</f>
        <v>0</v>
      </c>
      <c r="AG74" s="12"/>
      <c r="AH74" s="13"/>
      <c r="AI74" s="13">
        <f>SUM(AG74-AH74)</f>
        <v>0</v>
      </c>
      <c r="AJ74" s="12"/>
      <c r="AK74" s="13">
        <v>3157.6</v>
      </c>
      <c r="AL74" s="13">
        <f>SUM(AJ74-AK74)</f>
        <v>-3157.6</v>
      </c>
      <c r="AM74" s="12">
        <f t="shared" si="90"/>
        <v>0</v>
      </c>
      <c r="AN74" s="13">
        <f t="shared" si="91"/>
        <v>3157.6</v>
      </c>
      <c r="AO74" s="13">
        <f t="shared" si="92"/>
        <v>-3157.6</v>
      </c>
      <c r="AP74" s="11"/>
    </row>
    <row r="75" spans="2:42" s="1" customFormat="1" x14ac:dyDescent="0.25">
      <c r="B75" s="5" t="s">
        <v>172</v>
      </c>
      <c r="C75" s="14">
        <f t="shared" ref="C75:W75" si="116">SUM(C55:C74)</f>
        <v>4922.5</v>
      </c>
      <c r="D75" s="15">
        <f t="shared" si="116"/>
        <v>5517.1999999999989</v>
      </c>
      <c r="E75" s="15">
        <f t="shared" si="116"/>
        <v>-594.70000000000016</v>
      </c>
      <c r="F75" s="14">
        <f t="shared" si="116"/>
        <v>5199</v>
      </c>
      <c r="G75" s="15">
        <f t="shared" si="116"/>
        <v>7151.34</v>
      </c>
      <c r="H75" s="15">
        <f t="shared" si="116"/>
        <v>-1952.3399999999997</v>
      </c>
      <c r="I75" s="14">
        <f t="shared" si="116"/>
        <v>5593</v>
      </c>
      <c r="J75" s="15">
        <f t="shared" si="116"/>
        <v>6758.4400000000005</v>
      </c>
      <c r="K75" s="15">
        <f t="shared" si="116"/>
        <v>-1165.4399999999998</v>
      </c>
      <c r="L75" s="14">
        <f t="shared" si="116"/>
        <v>5091.5</v>
      </c>
      <c r="M75" s="15">
        <f t="shared" si="116"/>
        <v>5100.63</v>
      </c>
      <c r="N75" s="15">
        <f t="shared" si="116"/>
        <v>-9.1299999999999955</v>
      </c>
      <c r="O75" s="14">
        <f t="shared" si="116"/>
        <v>9618</v>
      </c>
      <c r="P75" s="15">
        <f t="shared" si="116"/>
        <v>3737.97</v>
      </c>
      <c r="Q75" s="15">
        <f t="shared" si="116"/>
        <v>5880.03</v>
      </c>
      <c r="R75" s="14">
        <f t="shared" si="116"/>
        <v>5843</v>
      </c>
      <c r="S75" s="15">
        <f t="shared" si="116"/>
        <v>9242.880000000001</v>
      </c>
      <c r="T75" s="15">
        <f t="shared" si="116"/>
        <v>-3399.8799999999997</v>
      </c>
      <c r="U75" s="14">
        <f t="shared" si="116"/>
        <v>4941.5</v>
      </c>
      <c r="V75" s="15">
        <f t="shared" si="116"/>
        <v>5239.5399999999991</v>
      </c>
      <c r="W75" s="15">
        <f t="shared" si="116"/>
        <v>-298.04000000000008</v>
      </c>
      <c r="X75" s="14">
        <f>SUM(X55:X74)</f>
        <v>4518</v>
      </c>
      <c r="Y75" s="15">
        <f t="shared" ref="Y75:AL75" si="117">SUM(Y55:Y74)</f>
        <v>4747.99</v>
      </c>
      <c r="Z75" s="15">
        <f t="shared" si="117"/>
        <v>-229.99</v>
      </c>
      <c r="AA75" s="14">
        <f>SUM(AA55:AA74)</f>
        <v>6243</v>
      </c>
      <c r="AB75" s="15">
        <f t="shared" si="117"/>
        <v>5789.64</v>
      </c>
      <c r="AC75" s="15">
        <f t="shared" si="117"/>
        <v>453.3599999999999</v>
      </c>
      <c r="AD75" s="14">
        <f>SUM(AD55:AD74)</f>
        <v>5700.5</v>
      </c>
      <c r="AE75" s="15">
        <f t="shared" si="117"/>
        <v>5912.44</v>
      </c>
      <c r="AF75" s="15">
        <f t="shared" si="117"/>
        <v>-211.93999999999994</v>
      </c>
      <c r="AG75" s="14">
        <f>SUM(AG55:AG74)</f>
        <v>5451</v>
      </c>
      <c r="AH75" s="15">
        <f t="shared" si="117"/>
        <v>12350.779999999999</v>
      </c>
      <c r="AI75" s="15">
        <f t="shared" si="117"/>
        <v>-6899.78</v>
      </c>
      <c r="AJ75" s="14">
        <f>SUM(AJ55:AJ74)</f>
        <v>40873</v>
      </c>
      <c r="AK75" s="15">
        <f t="shared" si="117"/>
        <v>9608.92</v>
      </c>
      <c r="AL75" s="15">
        <f t="shared" si="117"/>
        <v>31264.080000000002</v>
      </c>
      <c r="AM75" s="12">
        <f t="shared" si="90"/>
        <v>103994</v>
      </c>
      <c r="AN75" s="13">
        <f t="shared" si="91"/>
        <v>81157.77</v>
      </c>
      <c r="AO75" s="13">
        <f t="shared" si="92"/>
        <v>22836.230000000003</v>
      </c>
      <c r="AP75" s="16"/>
    </row>
    <row r="76" spans="2:42" x14ac:dyDescent="0.2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2:42" ht="30" x14ac:dyDescent="0.2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43" t="s">
        <v>220</v>
      </c>
      <c r="AN77" s="43" t="s">
        <v>221</v>
      </c>
      <c r="AO77" s="11"/>
      <c r="AP77" s="11"/>
    </row>
    <row r="78" spans="2:42" x14ac:dyDescent="0.25">
      <c r="B78" s="20" t="s">
        <v>39</v>
      </c>
      <c r="C78" s="10"/>
      <c r="D78" s="13">
        <f>54898.92+30034.65+33.12+400+490.51-20-58.07</f>
        <v>85779.12999999999</v>
      </c>
      <c r="F78" s="12">
        <v>124796.96</v>
      </c>
      <c r="G78" s="4"/>
      <c r="I78" s="12">
        <v>117645.62</v>
      </c>
      <c r="J78" s="4"/>
      <c r="L78" s="12">
        <v>111327.18</v>
      </c>
      <c r="M78" s="4"/>
      <c r="O78" s="12">
        <v>106226.55</v>
      </c>
      <c r="P78" s="4"/>
      <c r="R78" s="12">
        <v>103873.58</v>
      </c>
      <c r="S78" s="4"/>
      <c r="U78" s="12">
        <v>129667.65</v>
      </c>
      <c r="V78" s="4"/>
      <c r="X78" s="12">
        <v>124433.11</v>
      </c>
      <c r="Y78" s="4"/>
      <c r="AA78" s="12">
        <v>120512.12</v>
      </c>
      <c r="AB78" s="4"/>
      <c r="AD78" s="12">
        <v>114722.48</v>
      </c>
      <c r="AE78" s="4"/>
      <c r="AG78" s="12">
        <v>108860.04</v>
      </c>
      <c r="AH78" s="4"/>
      <c r="AJ78" s="12">
        <v>97090.92</v>
      </c>
      <c r="AK78" s="4"/>
      <c r="AM78" s="41"/>
      <c r="AN78" s="4"/>
    </row>
    <row r="79" spans="2:42" x14ac:dyDescent="0.25">
      <c r="B79" s="4" t="s">
        <v>38</v>
      </c>
      <c r="C79" s="12">
        <v>85779.13</v>
      </c>
      <c r="D79" s="4"/>
      <c r="F79" s="12"/>
      <c r="G79" s="13">
        <f>D83</f>
        <v>124796.95999999999</v>
      </c>
      <c r="I79" s="12"/>
      <c r="J79" s="13">
        <f>G83</f>
        <v>117645.62</v>
      </c>
      <c r="L79" s="12"/>
      <c r="M79" s="13">
        <f>J83</f>
        <v>111327.18</v>
      </c>
      <c r="O79" s="12"/>
      <c r="P79" s="13">
        <f>M83</f>
        <v>106226.54999999999</v>
      </c>
      <c r="R79" s="12"/>
      <c r="S79" s="13">
        <f>P83</f>
        <v>103873.57999999999</v>
      </c>
      <c r="U79" s="12"/>
      <c r="V79" s="13">
        <f>S83</f>
        <v>129667.64999999997</v>
      </c>
      <c r="X79" s="12"/>
      <c r="Y79" s="13">
        <f>V83</f>
        <v>124433.10999999997</v>
      </c>
      <c r="AA79" s="12"/>
      <c r="AB79" s="13">
        <f>Y83</f>
        <v>120512.11999999997</v>
      </c>
      <c r="AD79" s="12"/>
      <c r="AE79" s="13">
        <f>AB83</f>
        <v>114722.47999999997</v>
      </c>
      <c r="AG79" s="12"/>
      <c r="AH79" s="13">
        <f>AE83</f>
        <v>108860.03999999996</v>
      </c>
      <c r="AJ79" s="12"/>
      <c r="AK79" s="13">
        <f>AH83</f>
        <v>97084.259999999966</v>
      </c>
      <c r="AM79" s="41">
        <f>D78</f>
        <v>85779.12999999999</v>
      </c>
      <c r="AN79" s="13">
        <f>D78</f>
        <v>85779.12999999999</v>
      </c>
    </row>
    <row r="80" spans="2:42" x14ac:dyDescent="0.25">
      <c r="B80" s="4" t="s">
        <v>40</v>
      </c>
      <c r="C80" s="12">
        <f>C16</f>
        <v>35694</v>
      </c>
      <c r="D80" s="13">
        <f>D16</f>
        <v>44535.03</v>
      </c>
      <c r="F80" s="12">
        <f>F16</f>
        <v>5</v>
      </c>
      <c r="G80" s="13">
        <f>G16</f>
        <v>0</v>
      </c>
      <c r="I80" s="12">
        <f>I16</f>
        <v>101</v>
      </c>
      <c r="J80" s="13">
        <f>J16</f>
        <v>440</v>
      </c>
      <c r="L80" s="12">
        <f>L16</f>
        <v>0</v>
      </c>
      <c r="M80" s="13">
        <f>M16</f>
        <v>0</v>
      </c>
      <c r="O80" s="12">
        <f>O16</f>
        <v>0</v>
      </c>
      <c r="P80" s="13">
        <f>P16</f>
        <v>1385</v>
      </c>
      <c r="R80" s="12">
        <f>R16</f>
        <v>35108.769999999997</v>
      </c>
      <c r="S80" s="13">
        <f>S16</f>
        <v>35036.949999999997</v>
      </c>
      <c r="U80" s="12">
        <f>U16</f>
        <v>0</v>
      </c>
      <c r="V80" s="13">
        <f>V16</f>
        <v>5</v>
      </c>
      <c r="X80" s="12">
        <f>X16</f>
        <v>0</v>
      </c>
      <c r="Y80" s="13">
        <f>Y16</f>
        <v>827</v>
      </c>
      <c r="AA80" s="12">
        <f>AA16</f>
        <v>0</v>
      </c>
      <c r="AB80" s="13">
        <f>AB16</f>
        <v>0</v>
      </c>
      <c r="AD80" s="12">
        <f>AD16</f>
        <v>0</v>
      </c>
      <c r="AE80" s="13">
        <f>AE16</f>
        <v>50</v>
      </c>
      <c r="AG80" s="12">
        <f>AG16</f>
        <v>0</v>
      </c>
      <c r="AH80" s="13">
        <f>AH16</f>
        <v>575</v>
      </c>
      <c r="AJ80" s="12">
        <f>AJ16</f>
        <v>0</v>
      </c>
      <c r="AK80" s="13">
        <f>AK16</f>
        <v>0</v>
      </c>
      <c r="AM80" s="41">
        <f>SUM(AM5:AM15)</f>
        <v>70908.77</v>
      </c>
      <c r="AN80" s="13">
        <f>SUM(AN5:AN15)</f>
        <v>82853.98</v>
      </c>
    </row>
    <row r="81" spans="2:40" x14ac:dyDescent="0.25">
      <c r="B81" s="4" t="s">
        <v>41</v>
      </c>
      <c r="C81" s="12">
        <f>C75</f>
        <v>4922.5</v>
      </c>
      <c r="D81" s="13">
        <f>D75</f>
        <v>5517.1999999999989</v>
      </c>
      <c r="F81" s="12">
        <f>F75</f>
        <v>5199</v>
      </c>
      <c r="G81" s="13">
        <f>G75</f>
        <v>7151.34</v>
      </c>
      <c r="I81" s="12">
        <f>I75</f>
        <v>5593</v>
      </c>
      <c r="J81" s="13">
        <f>J75</f>
        <v>6758.4400000000005</v>
      </c>
      <c r="L81" s="12">
        <f>L75</f>
        <v>5091.5</v>
      </c>
      <c r="M81" s="13">
        <f>M75</f>
        <v>5100.63</v>
      </c>
      <c r="O81" s="12">
        <f>O75</f>
        <v>9618</v>
      </c>
      <c r="P81" s="13">
        <f>P75</f>
        <v>3737.97</v>
      </c>
      <c r="R81" s="12">
        <f>R75</f>
        <v>5843</v>
      </c>
      <c r="S81" s="13">
        <f>S75</f>
        <v>9242.880000000001</v>
      </c>
      <c r="U81" s="12">
        <f>U75</f>
        <v>4941.5</v>
      </c>
      <c r="V81" s="13">
        <f>V75</f>
        <v>5239.5399999999991</v>
      </c>
      <c r="X81" s="12">
        <f>X75</f>
        <v>4518</v>
      </c>
      <c r="Y81" s="13">
        <f>Y75</f>
        <v>4747.99</v>
      </c>
      <c r="AA81" s="12">
        <f>AA75</f>
        <v>6243</v>
      </c>
      <c r="AB81" s="13">
        <f>AB75</f>
        <v>5789.64</v>
      </c>
      <c r="AD81" s="12">
        <f>AD75</f>
        <v>5700.5</v>
      </c>
      <c r="AE81" s="13">
        <f>AE75</f>
        <v>5912.44</v>
      </c>
      <c r="AG81" s="12">
        <f>AG75</f>
        <v>5451</v>
      </c>
      <c r="AH81" s="13">
        <f>AH75</f>
        <v>12350.779999999999</v>
      </c>
      <c r="AJ81" s="12">
        <f>AJ75</f>
        <v>40873</v>
      </c>
      <c r="AK81" s="13">
        <f>AK75</f>
        <v>9608.92</v>
      </c>
      <c r="AM81" s="41">
        <f>SUM(AM19+AM20+AM21+AM22+AM23+AM24+AM26+AM27+AM28+AM29+AM30+AM31+AM32+AM33+AM34+AM35+AM36+AM37+AM38+AM39+AM40+AM41+AM42+AM43+AM44+AM45+AM46+AM47+AM48+AM49+AM50+AM51+AM52+AM53+AM54+AM59+AM60+AM61+AM62+AM63+AM64+AM65+AM66+AM67+AM68+AM69+AM70+AM71+AM72+AM73+AM74)</f>
        <v>103994</v>
      </c>
      <c r="AN81" s="13">
        <f>SUM(AN19+AN20+AN21+AN22+AN23+AN24+AN26+AN27+AN28+AN29+AN30+AN31+AN32+AN33+AN34+AN35+AN36+AN37+AN38+AN39+AN40+AN41+AN42+AN43+AN44+AN45+AN46+AN47+AN48+AN49+AN50+AN51+AN52+AN53+AN54+AN59+AN60+AN61+AN62+AN63+AN64+AN65+AN66+AN67+AN68+AN69+AN70+AN71+AN72+AN73+AN74)</f>
        <v>81157.76999999999</v>
      </c>
    </row>
    <row r="82" spans="2:40" x14ac:dyDescent="0.25">
      <c r="B82" s="6" t="s">
        <v>70</v>
      </c>
      <c r="C82" s="12"/>
      <c r="D82" s="4"/>
      <c r="F82" s="10"/>
      <c r="G82" s="4"/>
      <c r="I82" s="10"/>
      <c r="J82" s="4"/>
      <c r="L82" s="10"/>
      <c r="M82" s="4"/>
      <c r="O82" s="10"/>
      <c r="P82" s="4"/>
      <c r="R82" s="10"/>
      <c r="S82" s="4"/>
      <c r="U82" s="10"/>
      <c r="V82" s="4"/>
      <c r="X82" s="10"/>
      <c r="Y82" s="4"/>
      <c r="AA82" s="10"/>
      <c r="AB82" s="4"/>
      <c r="AD82" s="10"/>
      <c r="AE82" s="4"/>
      <c r="AG82" s="10"/>
      <c r="AH82" s="4"/>
      <c r="AJ82" s="10"/>
      <c r="AK82" s="4"/>
      <c r="AM82" s="41"/>
      <c r="AN82" s="13"/>
    </row>
    <row r="83" spans="2:40" s="1" customFormat="1" x14ac:dyDescent="0.25">
      <c r="B83" s="5" t="s">
        <v>42</v>
      </c>
      <c r="C83" s="14"/>
      <c r="D83" s="15">
        <f>SUM(D78+D80-D81+D82)</f>
        <v>124796.95999999999</v>
      </c>
      <c r="F83" s="14"/>
      <c r="G83" s="15">
        <f>SUM(G79+G80-G81+G82)</f>
        <v>117645.62</v>
      </c>
      <c r="I83" s="14"/>
      <c r="J83" s="15">
        <f>SUM(J79+J80-J81+J82)</f>
        <v>111327.18</v>
      </c>
      <c r="L83" s="14"/>
      <c r="M83" s="15">
        <f>SUM(M79+M80-M81+M82)</f>
        <v>106226.54999999999</v>
      </c>
      <c r="O83" s="14"/>
      <c r="P83" s="15">
        <f>SUM(P79+P80-P81+P82)</f>
        <v>103873.57999999999</v>
      </c>
      <c r="R83" s="14"/>
      <c r="S83" s="15">
        <f>SUM(S79+S80-S81+S82)</f>
        <v>129667.64999999997</v>
      </c>
      <c r="U83" s="14"/>
      <c r="V83" s="15">
        <f>SUM(V79+V80-V81+V82)</f>
        <v>124433.10999999997</v>
      </c>
      <c r="X83" s="14"/>
      <c r="Y83" s="15">
        <f>SUM(Y79+Y80-Y81+Y82)</f>
        <v>120512.11999999997</v>
      </c>
      <c r="AA83" s="14"/>
      <c r="AB83" s="15">
        <f>SUM(AB79+AB80-AB81+AB82)</f>
        <v>114722.47999999997</v>
      </c>
      <c r="AD83" s="14"/>
      <c r="AE83" s="15">
        <f>SUM(AE79+AE80-AE81+AE82)</f>
        <v>108860.03999999996</v>
      </c>
      <c r="AG83" s="14"/>
      <c r="AH83" s="15">
        <f>SUM(AH79+AH80-AH81+AH82)</f>
        <v>97084.259999999966</v>
      </c>
      <c r="AJ83" s="14">
        <f>SUM(AJ78+AJ80-AJ81)</f>
        <v>56217.919999999998</v>
      </c>
      <c r="AK83" s="15">
        <f>SUM(AK79+AK80-AK81+AK82)</f>
        <v>87475.339999999967</v>
      </c>
      <c r="AM83" s="42">
        <f>SUM(AM79+AM80-AM81)</f>
        <v>52693.899999999994</v>
      </c>
      <c r="AN83" s="15">
        <f>SUM(AN79+AN80-AN81)</f>
        <v>87475.34</v>
      </c>
    </row>
    <row r="85" spans="2:40" ht="45" x14ac:dyDescent="0.25">
      <c r="L85" s="18"/>
      <c r="V85" s="18"/>
      <c r="AH85" s="18" t="s">
        <v>225</v>
      </c>
      <c r="AJ85" s="18">
        <v>59870.21</v>
      </c>
      <c r="AM85" s="11"/>
    </row>
    <row r="86" spans="2:40" x14ac:dyDescent="0.25">
      <c r="AH86" t="s">
        <v>224</v>
      </c>
      <c r="AJ86">
        <v>6000</v>
      </c>
      <c r="AM86" s="36">
        <v>14000</v>
      </c>
      <c r="AN86" t="s">
        <v>182</v>
      </c>
    </row>
    <row r="87" spans="2:40" x14ac:dyDescent="0.25">
      <c r="AH87" t="s">
        <v>222</v>
      </c>
      <c r="AJ87" s="16">
        <f>AJ85-AJ86</f>
        <v>53870.21</v>
      </c>
      <c r="AM87" s="19">
        <v>30000</v>
      </c>
      <c r="AN87" t="s">
        <v>60</v>
      </c>
    </row>
    <row r="88" spans="2:40" x14ac:dyDescent="0.25">
      <c r="AF88" t="s">
        <v>50</v>
      </c>
      <c r="AH88" t="s">
        <v>223</v>
      </c>
      <c r="AL88" s="17"/>
      <c r="AM88">
        <v>20000</v>
      </c>
      <c r="AN88" t="s">
        <v>165</v>
      </c>
    </row>
    <row r="89" spans="2:40" x14ac:dyDescent="0.25">
      <c r="AM89" s="35">
        <v>10000</v>
      </c>
      <c r="AN89" t="s">
        <v>162</v>
      </c>
    </row>
    <row r="90" spans="2:40" x14ac:dyDescent="0.25">
      <c r="AM90" s="35">
        <v>5000</v>
      </c>
      <c r="AN90" t="s">
        <v>163</v>
      </c>
    </row>
    <row r="91" spans="2:40" x14ac:dyDescent="0.25">
      <c r="B91" s="1" t="s">
        <v>43</v>
      </c>
      <c r="AJ91" s="23" t="s">
        <v>164</v>
      </c>
      <c r="AK91" s="24"/>
    </row>
    <row r="92" spans="2:40" x14ac:dyDescent="0.25">
      <c r="B92" t="s">
        <v>71</v>
      </c>
      <c r="AJ92" s="25"/>
      <c r="AK92" s="26"/>
      <c r="AM92" s="16"/>
      <c r="AN92" s="1"/>
    </row>
    <row r="93" spans="2:40" x14ac:dyDescent="0.25">
      <c r="B93" t="s">
        <v>183</v>
      </c>
      <c r="AJ93" s="25"/>
      <c r="AK93" s="26"/>
    </row>
    <row r="94" spans="2:40" ht="30" x14ac:dyDescent="0.25">
      <c r="AJ94" s="29" t="s">
        <v>59</v>
      </c>
      <c r="AK94" s="45" t="s">
        <v>244</v>
      </c>
    </row>
    <row r="95" spans="2:40" x14ac:dyDescent="0.25">
      <c r="AJ95" s="27"/>
      <c r="AK95" s="28"/>
    </row>
  </sheetData>
  <mergeCells count="14">
    <mergeCell ref="AQ7:AR8"/>
    <mergeCell ref="AM2:AO2"/>
    <mergeCell ref="U2:W2"/>
    <mergeCell ref="X2:Z2"/>
    <mergeCell ref="AA2:AC2"/>
    <mergeCell ref="AD2:AF2"/>
    <mergeCell ref="AG2:AI2"/>
    <mergeCell ref="AJ2:AL2"/>
    <mergeCell ref="R2:T2"/>
    <mergeCell ref="C2:E2"/>
    <mergeCell ref="F2:H2"/>
    <mergeCell ref="I2:K2"/>
    <mergeCell ref="L2:N2"/>
    <mergeCell ref="O2:Q2"/>
  </mergeCells>
  <pageMargins left="0.70866141732283472" right="0.70866141732283472" top="0.74803149606299213" bottom="0.74803149606299213" header="0.31496062992125984" footer="0.31496062992125984"/>
  <pageSetup paperSize="9" scale="51" fitToWidth="0" orientation="portrait" r:id="rId1"/>
  <colBreaks count="4" manualBreakCount="4">
    <brk id="11" max="1048575" man="1"/>
    <brk id="20" max="1048575" man="1"/>
    <brk id="29" max="1048575" man="1"/>
    <brk id="3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67"/>
  <sheetViews>
    <sheetView zoomScale="90" zoomScaleNormal="90" workbookViewId="0">
      <pane ySplit="4" topLeftCell="A47" activePane="bottomLeft" state="frozen"/>
      <selection pane="bottomLeft" activeCell="F53" sqref="F53"/>
    </sheetView>
  </sheetViews>
  <sheetFormatPr defaultRowHeight="15" x14ac:dyDescent="0.25"/>
  <cols>
    <col min="2" max="2" width="29.5703125" customWidth="1"/>
    <col min="3" max="3" width="29.7109375" bestFit="1" customWidth="1"/>
    <col min="4" max="4" width="41.7109375" bestFit="1" customWidth="1"/>
    <col min="5" max="5" width="9.85546875" bestFit="1" customWidth="1"/>
    <col min="6" max="6" width="18.42578125" customWidth="1"/>
    <col min="7" max="7" width="9.85546875" bestFit="1" customWidth="1"/>
    <col min="9" max="9" width="18.42578125" customWidth="1"/>
  </cols>
  <sheetData>
    <row r="2" spans="2:8" x14ac:dyDescent="0.25">
      <c r="C2" t="s">
        <v>73</v>
      </c>
      <c r="D2" s="17">
        <v>6000</v>
      </c>
    </row>
    <row r="3" spans="2:8" x14ac:dyDescent="0.25">
      <c r="C3" s="1"/>
    </row>
    <row r="4" spans="2:8" ht="30" x14ac:dyDescent="0.25">
      <c r="B4" s="4" t="s">
        <v>74</v>
      </c>
      <c r="C4" s="4" t="s">
        <v>75</v>
      </c>
      <c r="D4" s="4" t="s">
        <v>76</v>
      </c>
      <c r="E4" s="4" t="s">
        <v>77</v>
      </c>
      <c r="F4" s="6" t="s">
        <v>78</v>
      </c>
      <c r="G4" s="6" t="s">
        <v>79</v>
      </c>
      <c r="H4" s="6" t="s">
        <v>80</v>
      </c>
    </row>
    <row r="5" spans="2:8" x14ac:dyDescent="0.25">
      <c r="B5" s="4" t="s">
        <v>81</v>
      </c>
      <c r="C5" s="4" t="s">
        <v>82</v>
      </c>
      <c r="D5" s="4" t="s">
        <v>102</v>
      </c>
      <c r="E5" s="33">
        <v>16.100000000000001</v>
      </c>
      <c r="F5" s="33"/>
      <c r="G5" s="33"/>
      <c r="H5" s="4">
        <v>2380</v>
      </c>
    </row>
    <row r="6" spans="2:8" x14ac:dyDescent="0.25">
      <c r="B6" s="4" t="s">
        <v>185</v>
      </c>
      <c r="C6" s="4" t="s">
        <v>82</v>
      </c>
      <c r="D6" s="4" t="s">
        <v>102</v>
      </c>
      <c r="E6" s="33">
        <v>16.100000000000001</v>
      </c>
      <c r="F6" s="33"/>
      <c r="G6" s="33"/>
      <c r="H6" s="4">
        <v>2386</v>
      </c>
    </row>
    <row r="7" spans="2:8" x14ac:dyDescent="0.25">
      <c r="B7" s="4" t="s">
        <v>83</v>
      </c>
      <c r="C7" s="4" t="s">
        <v>82</v>
      </c>
      <c r="D7" s="4" t="s">
        <v>102</v>
      </c>
      <c r="E7" s="33">
        <v>16.100000000000001</v>
      </c>
      <c r="F7" s="33"/>
      <c r="G7" s="33"/>
      <c r="H7" s="4">
        <v>2421</v>
      </c>
    </row>
    <row r="8" spans="2:8" x14ac:dyDescent="0.25">
      <c r="B8" s="4" t="s">
        <v>84</v>
      </c>
      <c r="C8" s="4" t="s">
        <v>82</v>
      </c>
      <c r="D8" s="4" t="s">
        <v>102</v>
      </c>
      <c r="E8" s="33">
        <v>16.100000000000001</v>
      </c>
      <c r="F8" s="33"/>
      <c r="G8" s="33"/>
      <c r="H8" s="4">
        <v>2433</v>
      </c>
    </row>
    <row r="9" spans="2:8" x14ac:dyDescent="0.25">
      <c r="B9" s="4" t="s">
        <v>119</v>
      </c>
      <c r="C9" s="4" t="s">
        <v>120</v>
      </c>
      <c r="D9" s="4" t="s">
        <v>121</v>
      </c>
      <c r="E9" s="33"/>
      <c r="F9" s="33">
        <v>26</v>
      </c>
      <c r="G9" s="33"/>
      <c r="H9" s="4"/>
    </row>
    <row r="10" spans="2:8" x14ac:dyDescent="0.25">
      <c r="B10" s="4" t="s">
        <v>85</v>
      </c>
      <c r="C10" s="4" t="s">
        <v>86</v>
      </c>
      <c r="D10" s="13" t="s">
        <v>87</v>
      </c>
      <c r="E10" s="33"/>
      <c r="F10" s="33"/>
      <c r="G10" s="33">
        <v>500</v>
      </c>
      <c r="H10" s="4">
        <v>2437</v>
      </c>
    </row>
    <row r="11" spans="2:8" x14ac:dyDescent="0.25">
      <c r="B11" s="4" t="s">
        <v>88</v>
      </c>
      <c r="C11" s="4" t="s">
        <v>176</v>
      </c>
      <c r="D11" s="4" t="s">
        <v>89</v>
      </c>
      <c r="E11" s="33"/>
      <c r="F11" s="33">
        <v>299.99</v>
      </c>
      <c r="G11" s="33"/>
      <c r="H11" s="4"/>
    </row>
    <row r="12" spans="2:8" x14ac:dyDescent="0.25">
      <c r="B12" s="4" t="s">
        <v>103</v>
      </c>
      <c r="C12" s="4" t="s">
        <v>122</v>
      </c>
      <c r="D12" s="4" t="s">
        <v>123</v>
      </c>
      <c r="E12" s="33"/>
      <c r="F12" s="33">
        <v>5.7</v>
      </c>
      <c r="G12" s="33"/>
      <c r="H12" s="4"/>
    </row>
    <row r="13" spans="2:8" x14ac:dyDescent="0.25">
      <c r="B13" s="4" t="s">
        <v>103</v>
      </c>
      <c r="C13" s="4" t="s">
        <v>122</v>
      </c>
      <c r="D13" s="4" t="s">
        <v>124</v>
      </c>
      <c r="E13" s="33"/>
      <c r="F13" s="33">
        <v>38.770000000000003</v>
      </c>
      <c r="G13" s="33"/>
      <c r="H13" s="4"/>
    </row>
    <row r="14" spans="2:8" x14ac:dyDescent="0.25">
      <c r="B14" s="4" t="s">
        <v>90</v>
      </c>
      <c r="C14" s="4" t="s">
        <v>91</v>
      </c>
      <c r="D14" s="4" t="s">
        <v>92</v>
      </c>
      <c r="E14" s="33">
        <v>71</v>
      </c>
      <c r="F14" s="33"/>
      <c r="G14" s="33"/>
      <c r="H14" s="4">
        <v>2442</v>
      </c>
    </row>
    <row r="15" spans="2:8" x14ac:dyDescent="0.25">
      <c r="B15" s="4" t="s">
        <v>125</v>
      </c>
      <c r="C15" s="4" t="s">
        <v>122</v>
      </c>
      <c r="D15" s="4" t="s">
        <v>126</v>
      </c>
      <c r="E15" s="33"/>
      <c r="F15" s="33">
        <v>8.1199999999999992</v>
      </c>
      <c r="G15" s="33"/>
      <c r="H15" s="4"/>
    </row>
    <row r="16" spans="2:8" x14ac:dyDescent="0.25">
      <c r="B16" s="4" t="s">
        <v>130</v>
      </c>
      <c r="C16" s="4" t="s">
        <v>120</v>
      </c>
      <c r="D16" s="4" t="s">
        <v>121</v>
      </c>
      <c r="E16" s="33"/>
      <c r="F16" s="33">
        <v>26</v>
      </c>
      <c r="G16" s="33"/>
      <c r="H16" s="4"/>
    </row>
    <row r="17" spans="2:8" x14ac:dyDescent="0.25">
      <c r="B17" s="4" t="s">
        <v>93</v>
      </c>
      <c r="C17" s="4" t="s">
        <v>68</v>
      </c>
      <c r="D17" s="4" t="s">
        <v>94</v>
      </c>
      <c r="E17" s="33"/>
      <c r="F17" s="33"/>
      <c r="G17" s="33">
        <v>500</v>
      </c>
      <c r="H17" s="4">
        <v>2450</v>
      </c>
    </row>
    <row r="18" spans="2:8" x14ac:dyDescent="0.25">
      <c r="B18" s="4" t="s">
        <v>101</v>
      </c>
      <c r="C18" s="4" t="s">
        <v>82</v>
      </c>
      <c r="D18" s="4" t="s">
        <v>191</v>
      </c>
      <c r="E18" s="33">
        <v>16.100000000000001</v>
      </c>
      <c r="F18" s="33"/>
      <c r="G18" s="33"/>
      <c r="H18" s="4">
        <v>2454</v>
      </c>
    </row>
    <row r="19" spans="2:8" x14ac:dyDescent="0.25">
      <c r="B19" s="4" t="s">
        <v>103</v>
      </c>
      <c r="C19" s="4" t="s">
        <v>82</v>
      </c>
      <c r="D19" s="4" t="s">
        <v>186</v>
      </c>
      <c r="E19" s="33">
        <v>16.100000000000001</v>
      </c>
      <c r="F19" s="33"/>
      <c r="G19" s="33"/>
      <c r="H19" s="4">
        <v>2446</v>
      </c>
    </row>
    <row r="20" spans="2:8" x14ac:dyDescent="0.25">
      <c r="B20" s="4" t="s">
        <v>104</v>
      </c>
      <c r="C20" s="4" t="s">
        <v>91</v>
      </c>
      <c r="D20" s="4" t="s">
        <v>105</v>
      </c>
      <c r="E20" s="33">
        <v>130</v>
      </c>
      <c r="F20" s="33"/>
      <c r="G20" s="33"/>
      <c r="H20" s="4">
        <v>2456</v>
      </c>
    </row>
    <row r="21" spans="2:8" x14ac:dyDescent="0.25">
      <c r="B21" s="4" t="s">
        <v>158</v>
      </c>
      <c r="C21" s="4" t="s">
        <v>159</v>
      </c>
      <c r="D21" s="4" t="s">
        <v>160</v>
      </c>
      <c r="E21" s="33"/>
      <c r="F21" s="33">
        <v>25</v>
      </c>
      <c r="G21" s="33"/>
      <c r="H21" s="4"/>
    </row>
    <row r="22" spans="2:8" x14ac:dyDescent="0.25">
      <c r="B22" s="4" t="s">
        <v>127</v>
      </c>
      <c r="C22" s="4" t="s">
        <v>128</v>
      </c>
      <c r="D22" s="4" t="s">
        <v>129</v>
      </c>
      <c r="E22" s="33"/>
      <c r="F22" s="33">
        <v>23.94</v>
      </c>
      <c r="G22" s="33"/>
      <c r="H22" s="4"/>
    </row>
    <row r="23" spans="2:8" x14ac:dyDescent="0.25">
      <c r="B23" s="4" t="s">
        <v>127</v>
      </c>
      <c r="C23" s="4" t="s">
        <v>120</v>
      </c>
      <c r="D23" s="4" t="s">
        <v>121</v>
      </c>
      <c r="E23" s="33"/>
      <c r="F23" s="33">
        <v>26</v>
      </c>
      <c r="G23" s="33"/>
      <c r="H23" s="4"/>
    </row>
    <row r="24" spans="2:8" x14ac:dyDescent="0.25">
      <c r="B24" s="4" t="s">
        <v>111</v>
      </c>
      <c r="C24" s="4" t="s">
        <v>82</v>
      </c>
      <c r="D24" s="4" t="s">
        <v>190</v>
      </c>
      <c r="E24" s="33">
        <v>16.399999999999999</v>
      </c>
      <c r="F24" s="33"/>
      <c r="G24" s="33"/>
      <c r="H24" s="4">
        <v>2468</v>
      </c>
    </row>
    <row r="25" spans="2:8" x14ac:dyDescent="0.25">
      <c r="B25" s="4" t="s">
        <v>131</v>
      </c>
      <c r="C25" s="4" t="s">
        <v>132</v>
      </c>
      <c r="D25" s="4" t="s">
        <v>133</v>
      </c>
      <c r="E25" s="33"/>
      <c r="F25" s="33">
        <v>29.97</v>
      </c>
      <c r="G25" s="33"/>
      <c r="H25" s="4"/>
    </row>
    <row r="26" spans="2:8" x14ac:dyDescent="0.25">
      <c r="B26" s="34" t="s">
        <v>196</v>
      </c>
      <c r="C26" s="4" t="s">
        <v>82</v>
      </c>
      <c r="D26" s="4" t="s">
        <v>189</v>
      </c>
      <c r="E26" s="33">
        <v>16.399999999999999</v>
      </c>
      <c r="F26" s="33"/>
      <c r="G26" s="33"/>
      <c r="H26" s="4">
        <v>2481</v>
      </c>
    </row>
    <row r="27" spans="2:8" x14ac:dyDescent="0.25">
      <c r="B27" s="4" t="s">
        <v>149</v>
      </c>
      <c r="C27" s="4" t="s">
        <v>82</v>
      </c>
      <c r="D27" s="4" t="s">
        <v>188</v>
      </c>
      <c r="E27" s="33">
        <v>15.8</v>
      </c>
      <c r="F27" s="33"/>
      <c r="G27" s="33"/>
      <c r="H27" s="4">
        <v>2490</v>
      </c>
    </row>
    <row r="28" spans="2:8" x14ac:dyDescent="0.25">
      <c r="B28" s="4" t="s">
        <v>146</v>
      </c>
      <c r="C28" s="4" t="s">
        <v>82</v>
      </c>
      <c r="D28" s="4" t="s">
        <v>187</v>
      </c>
      <c r="E28" s="33">
        <v>14.2</v>
      </c>
      <c r="F28" s="33"/>
      <c r="G28" s="33"/>
      <c r="H28" s="4">
        <v>2497</v>
      </c>
    </row>
    <row r="29" spans="2:8" x14ac:dyDescent="0.25">
      <c r="B29" s="4" t="s">
        <v>161</v>
      </c>
      <c r="C29" s="4" t="s">
        <v>82</v>
      </c>
      <c r="D29" s="4" t="s">
        <v>192</v>
      </c>
      <c r="E29" s="33">
        <v>14.2</v>
      </c>
      <c r="F29" s="33"/>
      <c r="G29" s="33"/>
      <c r="H29" s="4">
        <v>2506</v>
      </c>
    </row>
    <row r="30" spans="2:8" x14ac:dyDescent="0.25">
      <c r="B30" s="4" t="s">
        <v>175</v>
      </c>
      <c r="C30" s="4" t="s">
        <v>82</v>
      </c>
      <c r="D30" s="4" t="s">
        <v>193</v>
      </c>
      <c r="E30" s="33">
        <v>14.2</v>
      </c>
      <c r="F30" s="33"/>
      <c r="G30" s="33"/>
      <c r="H30" s="4">
        <v>2514</v>
      </c>
    </row>
    <row r="31" spans="2:8" x14ac:dyDescent="0.25">
      <c r="B31" s="4" t="s">
        <v>174</v>
      </c>
      <c r="C31" s="4" t="s">
        <v>82</v>
      </c>
      <c r="D31" s="4" t="s">
        <v>194</v>
      </c>
      <c r="E31" s="33">
        <v>14.2</v>
      </c>
      <c r="F31" s="33"/>
      <c r="G31" s="33"/>
      <c r="H31" s="4">
        <v>2521</v>
      </c>
    </row>
    <row r="32" spans="2:8" x14ac:dyDescent="0.25">
      <c r="B32" s="4" t="s">
        <v>173</v>
      </c>
      <c r="C32" s="4" t="s">
        <v>82</v>
      </c>
      <c r="D32" s="4" t="s">
        <v>195</v>
      </c>
      <c r="E32" s="33">
        <v>49.2</v>
      </c>
      <c r="F32" s="33"/>
      <c r="G32" s="33"/>
      <c r="H32" s="4">
        <v>2548</v>
      </c>
    </row>
    <row r="33" spans="2:8" x14ac:dyDescent="0.25">
      <c r="B33" s="4" t="s">
        <v>200</v>
      </c>
      <c r="C33" s="4" t="s">
        <v>198</v>
      </c>
      <c r="D33" s="4" t="s">
        <v>201</v>
      </c>
      <c r="E33" s="33">
        <v>800</v>
      </c>
      <c r="F33" s="33"/>
      <c r="G33" s="33"/>
      <c r="H33" s="4"/>
    </row>
    <row r="34" spans="2:8" x14ac:dyDescent="0.25">
      <c r="B34" s="4" t="s">
        <v>197</v>
      </c>
      <c r="C34" s="4" t="s">
        <v>198</v>
      </c>
      <c r="D34" s="4" t="s">
        <v>199</v>
      </c>
      <c r="E34" s="33">
        <v>1400</v>
      </c>
      <c r="F34" s="33"/>
      <c r="G34" s="33"/>
      <c r="H34" s="4"/>
    </row>
    <row r="35" spans="2:8" x14ac:dyDescent="0.25">
      <c r="B35" s="4" t="s">
        <v>202</v>
      </c>
      <c r="C35" s="4" t="s">
        <v>82</v>
      </c>
      <c r="D35" s="4" t="s">
        <v>203</v>
      </c>
      <c r="E35" s="33">
        <v>14.2</v>
      </c>
      <c r="F35" s="33"/>
      <c r="G35" s="33"/>
      <c r="H35" s="4">
        <v>2567</v>
      </c>
    </row>
    <row r="36" spans="2:8" x14ac:dyDescent="0.25">
      <c r="B36" s="4" t="s">
        <v>200</v>
      </c>
      <c r="C36" s="4" t="s">
        <v>82</v>
      </c>
      <c r="D36" s="4" t="s">
        <v>204</v>
      </c>
      <c r="E36" s="33">
        <v>14.2</v>
      </c>
      <c r="F36" s="33"/>
      <c r="G36" s="33"/>
      <c r="H36" s="4">
        <v>2571</v>
      </c>
    </row>
    <row r="37" spans="2:8" x14ac:dyDescent="0.25">
      <c r="B37" s="4" t="s">
        <v>197</v>
      </c>
      <c r="C37" s="4" t="s">
        <v>82</v>
      </c>
      <c r="D37" s="4" t="s">
        <v>205</v>
      </c>
      <c r="E37" s="33">
        <v>14.2</v>
      </c>
      <c r="F37" s="33"/>
      <c r="G37" s="33"/>
      <c r="H37" s="4">
        <v>2582</v>
      </c>
    </row>
    <row r="38" spans="2:8" x14ac:dyDescent="0.25">
      <c r="B38" s="4" t="s">
        <v>206</v>
      </c>
      <c r="C38" s="4" t="s">
        <v>82</v>
      </c>
      <c r="D38" s="4" t="s">
        <v>207</v>
      </c>
      <c r="E38" s="33">
        <v>14.5</v>
      </c>
      <c r="F38" s="33"/>
      <c r="G38" s="33"/>
      <c r="H38" s="4">
        <v>2612</v>
      </c>
    </row>
    <row r="39" spans="2:8" x14ac:dyDescent="0.25">
      <c r="B39" s="4" t="s">
        <v>208</v>
      </c>
      <c r="C39" s="4" t="s">
        <v>82</v>
      </c>
      <c r="D39" s="4" t="s">
        <v>209</v>
      </c>
      <c r="E39" s="33">
        <v>14.5</v>
      </c>
      <c r="F39" s="33"/>
      <c r="G39" s="33"/>
      <c r="H39" s="4">
        <v>2612</v>
      </c>
    </row>
    <row r="40" spans="2:8" x14ac:dyDescent="0.25">
      <c r="B40" s="4" t="s">
        <v>210</v>
      </c>
      <c r="C40" s="4" t="s">
        <v>82</v>
      </c>
      <c r="D40" s="4" t="s">
        <v>211</v>
      </c>
      <c r="E40" s="33">
        <v>14.5</v>
      </c>
      <c r="F40" s="33"/>
      <c r="G40" s="33"/>
      <c r="H40" s="4">
        <v>2620</v>
      </c>
    </row>
    <row r="41" spans="2:8" x14ac:dyDescent="0.25">
      <c r="B41" s="4" t="s">
        <v>212</v>
      </c>
      <c r="C41" s="4" t="s">
        <v>198</v>
      </c>
      <c r="D41" s="4" t="s">
        <v>213</v>
      </c>
      <c r="E41" s="33">
        <v>675</v>
      </c>
      <c r="F41" s="33"/>
      <c r="G41" s="33"/>
      <c r="H41" s="4">
        <v>2639</v>
      </c>
    </row>
    <row r="42" spans="2:8" x14ac:dyDescent="0.25">
      <c r="B42" s="4" t="s">
        <v>212</v>
      </c>
      <c r="C42" s="4" t="s">
        <v>82</v>
      </c>
      <c r="D42" s="4" t="s">
        <v>215</v>
      </c>
      <c r="E42" s="33">
        <v>14.5</v>
      </c>
      <c r="F42" s="33"/>
      <c r="G42" s="33"/>
      <c r="H42" s="4">
        <v>2638</v>
      </c>
    </row>
    <row r="43" spans="2:8" x14ac:dyDescent="0.25">
      <c r="B43" s="4" t="s">
        <v>216</v>
      </c>
      <c r="C43" s="4" t="s">
        <v>82</v>
      </c>
      <c r="D43" s="4" t="s">
        <v>217</v>
      </c>
      <c r="E43" s="33">
        <v>16.2</v>
      </c>
      <c r="F43" s="33"/>
      <c r="G43" s="33"/>
      <c r="H43" s="4">
        <v>2646</v>
      </c>
    </row>
    <row r="44" spans="2:8" x14ac:dyDescent="0.25">
      <c r="B44" s="4" t="s">
        <v>218</v>
      </c>
      <c r="C44" s="4" t="s">
        <v>198</v>
      </c>
      <c r="D44" s="4" t="s">
        <v>219</v>
      </c>
      <c r="E44" s="33">
        <v>650</v>
      </c>
      <c r="F44" s="33"/>
      <c r="G44" s="33"/>
      <c r="H44" s="4">
        <v>2647</v>
      </c>
    </row>
    <row r="45" spans="2:8" x14ac:dyDescent="0.25">
      <c r="B45" s="44" t="s">
        <v>226</v>
      </c>
      <c r="C45" s="4" t="s">
        <v>198</v>
      </c>
      <c r="D45" s="4" t="s">
        <v>227</v>
      </c>
      <c r="E45" s="33">
        <v>400</v>
      </c>
      <c r="F45" s="33"/>
      <c r="G45" s="33"/>
      <c r="H45" s="4">
        <v>2653</v>
      </c>
    </row>
    <row r="46" spans="2:8" x14ac:dyDescent="0.25">
      <c r="B46" s="44" t="s">
        <v>229</v>
      </c>
      <c r="C46" s="4" t="s">
        <v>82</v>
      </c>
      <c r="D46" s="4" t="s">
        <v>228</v>
      </c>
      <c r="E46" s="33">
        <v>16.2</v>
      </c>
      <c r="F46" s="33"/>
      <c r="G46" s="33"/>
      <c r="H46" s="4">
        <v>2654</v>
      </c>
    </row>
    <row r="47" spans="2:8" x14ac:dyDescent="0.25">
      <c r="B47" s="44" t="s">
        <v>230</v>
      </c>
      <c r="C47" s="4" t="s">
        <v>198</v>
      </c>
      <c r="D47" s="4" t="s">
        <v>231</v>
      </c>
      <c r="E47" s="33">
        <v>275</v>
      </c>
      <c r="F47" s="33"/>
      <c r="G47" s="33"/>
      <c r="H47" s="4"/>
    </row>
    <row r="48" spans="2:8" x14ac:dyDescent="0.25">
      <c r="B48" s="44" t="s">
        <v>232</v>
      </c>
      <c r="C48" s="4" t="s">
        <v>233</v>
      </c>
      <c r="D48" s="4" t="s">
        <v>234</v>
      </c>
      <c r="E48" s="33">
        <v>168</v>
      </c>
      <c r="F48" s="33"/>
      <c r="G48" s="33"/>
      <c r="H48" s="4"/>
    </row>
    <row r="49" spans="2:11" x14ac:dyDescent="0.25">
      <c r="B49" s="44" t="s">
        <v>235</v>
      </c>
      <c r="C49" s="4" t="s">
        <v>82</v>
      </c>
      <c r="D49" s="4" t="s">
        <v>236</v>
      </c>
      <c r="E49" s="33">
        <v>16.2</v>
      </c>
      <c r="F49" s="33"/>
      <c r="G49" s="33"/>
      <c r="H49" s="4"/>
    </row>
    <row r="50" spans="2:11" x14ac:dyDescent="0.25">
      <c r="B50" s="44" t="s">
        <v>237</v>
      </c>
      <c r="C50" s="4" t="s">
        <v>198</v>
      </c>
      <c r="D50" s="4" t="s">
        <v>23</v>
      </c>
      <c r="E50" s="33">
        <v>1400</v>
      </c>
      <c r="F50" s="33"/>
      <c r="G50" s="33"/>
      <c r="H50" s="4"/>
    </row>
    <row r="51" spans="2:11" x14ac:dyDescent="0.25">
      <c r="B51" s="44" t="s">
        <v>237</v>
      </c>
      <c r="C51" s="4" t="s">
        <v>82</v>
      </c>
      <c r="D51" s="4" t="s">
        <v>238</v>
      </c>
      <c r="E51" s="33">
        <v>16.2</v>
      </c>
      <c r="F51" s="33"/>
      <c r="G51" s="33"/>
      <c r="H51" s="4"/>
    </row>
    <row r="52" spans="2:11" x14ac:dyDescent="0.25">
      <c r="B52" s="44" t="s">
        <v>240</v>
      </c>
      <c r="C52" s="4" t="s">
        <v>198</v>
      </c>
      <c r="D52" s="4" t="s">
        <v>241</v>
      </c>
      <c r="E52" s="33">
        <v>200</v>
      </c>
      <c r="F52" s="33"/>
      <c r="G52" s="33"/>
      <c r="H52" s="4"/>
    </row>
    <row r="53" spans="2:11" x14ac:dyDescent="0.25">
      <c r="B53" s="44" t="s">
        <v>240</v>
      </c>
      <c r="C53" s="4" t="s">
        <v>82</v>
      </c>
      <c r="D53" s="4" t="s">
        <v>242</v>
      </c>
      <c r="E53" s="33">
        <v>16.2</v>
      </c>
      <c r="F53" s="33"/>
      <c r="G53" s="33"/>
      <c r="H53" s="4"/>
    </row>
    <row r="54" spans="2:11" x14ac:dyDescent="0.25">
      <c r="B54" s="4"/>
      <c r="C54" s="4"/>
      <c r="D54" s="4"/>
      <c r="E54" s="33"/>
      <c r="F54" s="33"/>
      <c r="G54" s="33"/>
      <c r="H54" s="4"/>
    </row>
    <row r="55" spans="2:11" ht="30" x14ac:dyDescent="0.25">
      <c r="B55" s="4" t="s">
        <v>2</v>
      </c>
      <c r="C55" s="4"/>
      <c r="D55" s="4"/>
      <c r="E55" s="13">
        <f>SUM(E5:E54)</f>
        <v>6601.7999999999984</v>
      </c>
      <c r="F55" s="13">
        <f>SUM(F5:F54)</f>
        <v>509.49</v>
      </c>
      <c r="G55" s="13">
        <f>SUM(G5:G54)</f>
        <v>1000</v>
      </c>
      <c r="H55" s="4"/>
      <c r="I55" s="40" t="s">
        <v>97</v>
      </c>
      <c r="J55" s="11">
        <f>SUM(G55-F55)</f>
        <v>490.51</v>
      </c>
      <c r="K55" s="11"/>
    </row>
    <row r="56" spans="2:11" x14ac:dyDescent="0.25">
      <c r="B56" s="30"/>
      <c r="C56" s="1"/>
      <c r="F56" s="3"/>
      <c r="G56" s="31"/>
    </row>
    <row r="57" spans="2:11" x14ac:dyDescent="0.25">
      <c r="B57" s="30"/>
      <c r="C57" s="1"/>
      <c r="F57" s="2"/>
      <c r="G57" s="32"/>
    </row>
    <row r="58" spans="2:11" x14ac:dyDescent="0.25">
      <c r="B58" s="30"/>
      <c r="C58" s="1"/>
    </row>
    <row r="59" spans="2:11" x14ac:dyDescent="0.25">
      <c r="B59" t="s">
        <v>95</v>
      </c>
    </row>
    <row r="60" spans="2:11" x14ac:dyDescent="0.25">
      <c r="D60" s="11"/>
    </row>
    <row r="61" spans="2:11" x14ac:dyDescent="0.25">
      <c r="B61" t="s">
        <v>96</v>
      </c>
      <c r="D61" s="11">
        <v>5000</v>
      </c>
    </row>
    <row r="62" spans="2:11" x14ac:dyDescent="0.25">
      <c r="B62" t="s">
        <v>214</v>
      </c>
      <c r="D62" s="11">
        <v>10000</v>
      </c>
    </row>
    <row r="64" spans="2:11" x14ac:dyDescent="0.25">
      <c r="B64" t="s">
        <v>98</v>
      </c>
      <c r="D64" s="11">
        <f>SUM(D60:D63)</f>
        <v>15000</v>
      </c>
    </row>
    <row r="65" spans="2:4" x14ac:dyDescent="0.25">
      <c r="B65" t="s">
        <v>99</v>
      </c>
      <c r="D65" s="11">
        <f>SUM(E55+F55)</f>
        <v>7111.2899999999981</v>
      </c>
    </row>
    <row r="67" spans="2:4" x14ac:dyDescent="0.25">
      <c r="B67" t="s">
        <v>100</v>
      </c>
      <c r="D67" s="11">
        <f>SUM(D64-D65)</f>
        <v>7888.7100000000019</v>
      </c>
    </row>
  </sheetData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45"/>
  <sheetViews>
    <sheetView topLeftCell="A4" workbookViewId="0">
      <selection activeCell="G18" sqref="G18"/>
    </sheetView>
  </sheetViews>
  <sheetFormatPr defaultRowHeight="15" x14ac:dyDescent="0.25"/>
  <cols>
    <col min="2" max="2" width="23.85546875" bestFit="1" customWidth="1"/>
    <col min="3" max="3" width="19.5703125" bestFit="1" customWidth="1"/>
    <col min="4" max="4" width="26" bestFit="1" customWidth="1"/>
    <col min="5" max="5" width="7.5703125" bestFit="1" customWidth="1"/>
    <col min="6" max="6" width="8.5703125" bestFit="1" customWidth="1"/>
    <col min="7" max="7" width="8" bestFit="1" customWidth="1"/>
  </cols>
  <sheetData>
    <row r="2" spans="2:7" x14ac:dyDescent="0.25">
      <c r="B2" t="s">
        <v>117</v>
      </c>
    </row>
    <row r="4" spans="2:7" x14ac:dyDescent="0.25">
      <c r="C4" s="1"/>
    </row>
    <row r="5" spans="2:7" ht="30" x14ac:dyDescent="0.25">
      <c r="B5" s="4" t="s">
        <v>74</v>
      </c>
      <c r="C5" s="4" t="s">
        <v>75</v>
      </c>
      <c r="D5" s="4" t="s">
        <v>76</v>
      </c>
      <c r="E5" s="4" t="s">
        <v>77</v>
      </c>
      <c r="F5" s="6" t="s">
        <v>78</v>
      </c>
      <c r="G5" s="6" t="s">
        <v>80</v>
      </c>
    </row>
    <row r="6" spans="2:7" x14ac:dyDescent="0.25">
      <c r="B6" s="4" t="s">
        <v>108</v>
      </c>
      <c r="C6" s="4" t="s">
        <v>109</v>
      </c>
      <c r="D6" s="4" t="s">
        <v>110</v>
      </c>
      <c r="E6" s="13">
        <v>200.46</v>
      </c>
      <c r="F6" s="13"/>
      <c r="G6" s="4">
        <v>2479</v>
      </c>
    </row>
    <row r="7" spans="2:7" x14ac:dyDescent="0.25">
      <c r="B7" s="4" t="s">
        <v>112</v>
      </c>
      <c r="C7" s="4" t="s">
        <v>113</v>
      </c>
      <c r="D7" s="4" t="s">
        <v>114</v>
      </c>
      <c r="E7" s="13"/>
      <c r="F7" s="13">
        <v>105</v>
      </c>
      <c r="G7" s="4"/>
    </row>
    <row r="8" spans="2:7" x14ac:dyDescent="0.25">
      <c r="B8" s="4" t="s">
        <v>112</v>
      </c>
      <c r="C8" s="4" t="s">
        <v>115</v>
      </c>
      <c r="D8" s="4" t="s">
        <v>116</v>
      </c>
      <c r="E8" s="13"/>
      <c r="F8" s="13">
        <v>1.39</v>
      </c>
      <c r="G8" s="4"/>
    </row>
    <row r="9" spans="2:7" x14ac:dyDescent="0.25">
      <c r="B9" s="4" t="s">
        <v>134</v>
      </c>
      <c r="C9" s="4" t="s">
        <v>135</v>
      </c>
      <c r="D9" s="4" t="s">
        <v>136</v>
      </c>
      <c r="E9" s="13"/>
      <c r="F9" s="13">
        <v>50</v>
      </c>
      <c r="G9" s="4"/>
    </row>
    <row r="10" spans="2:7" x14ac:dyDescent="0.25">
      <c r="B10" s="4" t="s">
        <v>134</v>
      </c>
      <c r="C10" s="4" t="s">
        <v>137</v>
      </c>
      <c r="D10" s="13" t="s">
        <v>138</v>
      </c>
      <c r="E10" s="13"/>
      <c r="F10" s="13">
        <v>23.99</v>
      </c>
      <c r="G10" s="4"/>
    </row>
    <row r="11" spans="2:7" x14ac:dyDescent="0.25">
      <c r="B11" s="4" t="s">
        <v>112</v>
      </c>
      <c r="C11" s="4" t="s">
        <v>122</v>
      </c>
      <c r="D11" s="4" t="s">
        <v>139</v>
      </c>
      <c r="E11" s="13"/>
      <c r="F11" s="13">
        <v>14.34</v>
      </c>
      <c r="G11" s="4"/>
    </row>
    <row r="12" spans="2:7" x14ac:dyDescent="0.25">
      <c r="B12" s="4" t="s">
        <v>140</v>
      </c>
      <c r="C12" s="4" t="s">
        <v>141</v>
      </c>
      <c r="D12" s="4" t="s">
        <v>142</v>
      </c>
      <c r="E12" s="13"/>
      <c r="F12" s="13">
        <v>216</v>
      </c>
      <c r="G12" s="4"/>
    </row>
    <row r="13" spans="2:7" x14ac:dyDescent="0.25">
      <c r="B13" s="4" t="s">
        <v>143</v>
      </c>
      <c r="C13" s="4" t="s">
        <v>144</v>
      </c>
      <c r="D13" s="4" t="s">
        <v>145</v>
      </c>
      <c r="E13" s="13">
        <v>440</v>
      </c>
      <c r="F13" s="13"/>
      <c r="G13" s="4">
        <v>2499</v>
      </c>
    </row>
    <row r="14" spans="2:7" x14ac:dyDescent="0.25">
      <c r="B14" s="4" t="s">
        <v>146</v>
      </c>
      <c r="C14" s="4" t="s">
        <v>147</v>
      </c>
      <c r="D14" s="4" t="s">
        <v>148</v>
      </c>
      <c r="E14" s="13">
        <v>175.84</v>
      </c>
      <c r="F14" s="13"/>
      <c r="G14" s="4">
        <v>2497</v>
      </c>
    </row>
    <row r="15" spans="2:7" x14ac:dyDescent="0.25">
      <c r="B15" s="4" t="s">
        <v>150</v>
      </c>
      <c r="C15" s="4" t="s">
        <v>151</v>
      </c>
      <c r="D15" s="4" t="s">
        <v>20</v>
      </c>
      <c r="E15" s="13">
        <v>65.56</v>
      </c>
      <c r="F15" s="13"/>
      <c r="G15" s="4">
        <v>2490</v>
      </c>
    </row>
    <row r="16" spans="2:7" x14ac:dyDescent="0.25">
      <c r="B16" s="4" t="s">
        <v>152</v>
      </c>
      <c r="C16" s="4" t="s">
        <v>153</v>
      </c>
      <c r="D16" s="4" t="s">
        <v>154</v>
      </c>
      <c r="E16" s="13">
        <v>81</v>
      </c>
      <c r="F16" s="13"/>
      <c r="G16" s="4">
        <v>2485</v>
      </c>
    </row>
    <row r="17" spans="2:7" x14ac:dyDescent="0.25">
      <c r="B17" s="4" t="s">
        <v>155</v>
      </c>
      <c r="C17" s="4" t="s">
        <v>156</v>
      </c>
      <c r="D17" s="4" t="s">
        <v>157</v>
      </c>
      <c r="E17" s="13">
        <v>119.94</v>
      </c>
      <c r="F17" s="13"/>
      <c r="G17" s="4">
        <v>2482</v>
      </c>
    </row>
    <row r="18" spans="2:7" x14ac:dyDescent="0.25">
      <c r="B18" s="4"/>
      <c r="C18" s="4"/>
      <c r="D18" s="4"/>
      <c r="E18" s="13"/>
      <c r="F18" s="13"/>
      <c r="G18" s="4"/>
    </row>
    <row r="19" spans="2:7" x14ac:dyDescent="0.25">
      <c r="B19" s="4"/>
      <c r="C19" s="4"/>
      <c r="D19" s="4"/>
      <c r="E19" s="13"/>
      <c r="F19" s="13"/>
      <c r="G19" s="4"/>
    </row>
    <row r="20" spans="2:7" x14ac:dyDescent="0.25">
      <c r="B20" s="4"/>
      <c r="C20" s="4"/>
      <c r="D20" s="4"/>
      <c r="E20" s="13"/>
      <c r="F20" s="13"/>
      <c r="G20" s="4"/>
    </row>
    <row r="21" spans="2:7" x14ac:dyDescent="0.25">
      <c r="B21" s="4"/>
      <c r="C21" s="4"/>
      <c r="D21" s="4"/>
      <c r="E21" s="13"/>
      <c r="F21" s="13"/>
      <c r="G21" s="4"/>
    </row>
    <row r="22" spans="2:7" x14ac:dyDescent="0.25">
      <c r="B22" s="4"/>
      <c r="C22" s="4"/>
      <c r="D22" s="4"/>
      <c r="E22" s="13"/>
      <c r="F22" s="13"/>
      <c r="G22" s="4"/>
    </row>
    <row r="23" spans="2:7" x14ac:dyDescent="0.25">
      <c r="B23" s="4"/>
      <c r="C23" s="4"/>
      <c r="D23" s="4"/>
      <c r="E23" s="13"/>
      <c r="F23" s="13"/>
      <c r="G23" s="4"/>
    </row>
    <row r="24" spans="2:7" x14ac:dyDescent="0.25">
      <c r="B24" s="4"/>
      <c r="C24" s="4"/>
      <c r="D24" s="4"/>
      <c r="E24" s="13"/>
      <c r="F24" s="13"/>
      <c r="G24" s="4"/>
    </row>
    <row r="25" spans="2:7" x14ac:dyDescent="0.25">
      <c r="B25" s="4"/>
      <c r="C25" s="4"/>
      <c r="D25" s="4"/>
      <c r="E25" s="13"/>
      <c r="F25" s="13"/>
      <c r="G25" s="4"/>
    </row>
    <row r="26" spans="2:7" x14ac:dyDescent="0.25">
      <c r="B26" s="4"/>
      <c r="C26" s="4"/>
      <c r="D26" s="4"/>
      <c r="E26" s="13"/>
      <c r="F26" s="13"/>
      <c r="G26" s="4"/>
    </row>
    <row r="27" spans="2:7" x14ac:dyDescent="0.25">
      <c r="B27" s="4"/>
      <c r="C27" s="4"/>
      <c r="D27" s="4"/>
      <c r="E27" s="13"/>
      <c r="F27" s="13"/>
      <c r="G27" s="4"/>
    </row>
    <row r="28" spans="2:7" x14ac:dyDescent="0.25">
      <c r="B28" s="4"/>
      <c r="C28" s="4"/>
      <c r="D28" s="4"/>
      <c r="E28" s="13"/>
      <c r="F28" s="13"/>
      <c r="G28" s="4"/>
    </row>
    <row r="29" spans="2:7" x14ac:dyDescent="0.25">
      <c r="B29" s="4"/>
      <c r="C29" s="4"/>
      <c r="D29" s="4"/>
      <c r="E29" s="13"/>
      <c r="F29" s="13"/>
      <c r="G29" s="4"/>
    </row>
    <row r="30" spans="2:7" x14ac:dyDescent="0.25">
      <c r="B30" s="4"/>
      <c r="C30" s="4"/>
      <c r="D30" s="4"/>
      <c r="E30" s="13"/>
      <c r="F30" s="13"/>
      <c r="G30" s="4"/>
    </row>
    <row r="31" spans="2:7" x14ac:dyDescent="0.25">
      <c r="B31" s="4"/>
      <c r="C31" s="4"/>
      <c r="D31" s="4"/>
      <c r="E31" s="13"/>
      <c r="F31" s="13"/>
      <c r="G31" s="4"/>
    </row>
    <row r="32" spans="2:7" x14ac:dyDescent="0.25">
      <c r="B32" s="4"/>
      <c r="C32" s="4"/>
      <c r="D32" s="4"/>
      <c r="E32" s="13"/>
      <c r="F32" s="13"/>
      <c r="G32" s="4"/>
    </row>
    <row r="33" spans="2:8" x14ac:dyDescent="0.25">
      <c r="B33" s="4"/>
      <c r="C33" s="4"/>
      <c r="D33" s="4"/>
      <c r="E33" s="13"/>
      <c r="F33" s="13"/>
      <c r="G33" s="4"/>
    </row>
    <row r="34" spans="2:8" x14ac:dyDescent="0.25">
      <c r="B34" s="4" t="s">
        <v>2</v>
      </c>
      <c r="C34" s="4"/>
      <c r="D34" s="4"/>
      <c r="E34" s="13">
        <v>135.4</v>
      </c>
      <c r="F34" s="13">
        <v>299.99</v>
      </c>
      <c r="G34" s="4"/>
      <c r="H34" s="18"/>
    </row>
    <row r="35" spans="2:8" x14ac:dyDescent="0.25">
      <c r="B35" s="30"/>
      <c r="C35" s="1"/>
      <c r="F35" s="3"/>
    </row>
    <row r="36" spans="2:8" x14ac:dyDescent="0.25">
      <c r="B36" s="30"/>
      <c r="C36" s="1"/>
      <c r="F36" s="2"/>
    </row>
    <row r="37" spans="2:8" x14ac:dyDescent="0.25">
      <c r="B37" s="30"/>
      <c r="C37" s="1"/>
    </row>
    <row r="38" spans="2:8" x14ac:dyDescent="0.25">
      <c r="B38" t="s">
        <v>118</v>
      </c>
    </row>
    <row r="39" spans="2:8" x14ac:dyDescent="0.25">
      <c r="D39" s="11"/>
    </row>
    <row r="40" spans="2:8" x14ac:dyDescent="0.25">
      <c r="B40" t="s">
        <v>96</v>
      </c>
      <c r="D40" s="11">
        <v>2000</v>
      </c>
    </row>
    <row r="42" spans="2:8" x14ac:dyDescent="0.25">
      <c r="B42" t="s">
        <v>98</v>
      </c>
      <c r="D42" s="11">
        <f>SUM(D39:D41)</f>
        <v>2000</v>
      </c>
    </row>
    <row r="43" spans="2:8" x14ac:dyDescent="0.25">
      <c r="B43" t="s">
        <v>99</v>
      </c>
      <c r="D43" s="11">
        <f>SUM(E34+F34)</f>
        <v>435.39</v>
      </c>
    </row>
    <row r="45" spans="2:8" x14ac:dyDescent="0.25">
      <c r="B45" t="s">
        <v>100</v>
      </c>
      <c r="D45" s="11">
        <f>SUM(D42-D43)</f>
        <v>1564.6100000000001</v>
      </c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Worksheet</vt:lpstr>
      <vt:lpstr>Neighbourhood plan spend sheet</vt:lpstr>
      <vt:lpstr>M4 J 18A spend sheet</vt:lpstr>
      <vt:lpstr>Worksheet!Print_Titles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Parish Clerk</cp:lastModifiedBy>
  <cp:lastPrinted>2018-11-23T14:27:56Z</cp:lastPrinted>
  <dcterms:created xsi:type="dcterms:W3CDTF">2014-06-16T19:39:22Z</dcterms:created>
  <dcterms:modified xsi:type="dcterms:W3CDTF">2019-05-01T12:44:25Z</dcterms:modified>
</cp:coreProperties>
</file>